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ell\Documents\GitHub\inakm.github.io\myprojects\RVNL\"/>
    </mc:Choice>
  </mc:AlternateContent>
  <bookViews>
    <workbookView xWindow="0" yWindow="1350" windowWidth="28800" windowHeight="13860" tabRatio="500" activeTab="2"/>
  </bookViews>
  <sheets>
    <sheet name="HOME" sheetId="1" r:id="rId1"/>
    <sheet name="P&amp;L Statement" sheetId="2" r:id="rId2"/>
    <sheet name="Balance Sheet" sheetId="3" r:id="rId3"/>
    <sheet name="Cash Flow" sheetId="4" r:id="rId4"/>
    <sheet name="Raw Data" sheetId="5" r:id="rId5"/>
    <sheet name="Key Insights" sheetId="6" r:id="rId6"/>
  </sheets>
  <calcPr calcId="152511"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D22" i="3" l="1"/>
  <c r="E22" i="3"/>
  <c r="F22" i="3"/>
  <c r="C22" i="3"/>
  <c r="D21" i="3"/>
  <c r="E21" i="3"/>
  <c r="F21" i="3"/>
  <c r="C21" i="3"/>
  <c r="F17" i="3"/>
  <c r="D17" i="3"/>
  <c r="E17" i="3"/>
  <c r="C17" i="3"/>
  <c r="D15" i="3"/>
  <c r="E15" i="3"/>
  <c r="F15" i="3"/>
  <c r="C15" i="3"/>
  <c r="F14" i="3"/>
  <c r="E14" i="3"/>
  <c r="D14" i="3"/>
  <c r="C14" i="3"/>
  <c r="B68" i="2" l="1"/>
  <c r="B67" i="2"/>
  <c r="D52" i="2"/>
  <c r="E52" i="2"/>
  <c r="F52" i="2"/>
  <c r="D51" i="2"/>
  <c r="E51" i="2"/>
  <c r="F51" i="2"/>
  <c r="D50" i="2"/>
  <c r="E50" i="2"/>
  <c r="F50" i="2"/>
  <c r="D49" i="2"/>
  <c r="E49" i="2"/>
  <c r="F49" i="2"/>
  <c r="C52" i="2"/>
  <c r="C51" i="2"/>
  <c r="C50" i="2"/>
  <c r="C49" i="2"/>
  <c r="E48" i="2"/>
  <c r="D48" i="2"/>
  <c r="F48" i="2"/>
  <c r="C48" i="2"/>
  <c r="D24" i="2"/>
  <c r="E24" i="2"/>
  <c r="E23" i="2"/>
  <c r="D23" i="2"/>
  <c r="C23" i="2"/>
  <c r="E22" i="2"/>
  <c r="D22" i="2"/>
  <c r="C22" i="2"/>
  <c r="C24" i="2" s="1"/>
  <c r="D14" i="2"/>
  <c r="D53" i="2" s="1"/>
  <c r="E14" i="2"/>
  <c r="E53" i="2" s="1"/>
  <c r="F14" i="2"/>
  <c r="F53" i="2" s="1"/>
  <c r="C14" i="2"/>
  <c r="C53" i="2" s="1"/>
  <c r="D7" i="2"/>
  <c r="D16" i="2" s="1"/>
  <c r="E7" i="2"/>
  <c r="E16" i="2" s="1"/>
  <c r="F7" i="2"/>
  <c r="B69" i="2" s="1"/>
  <c r="C7" i="2"/>
  <c r="C16" i="2" s="1"/>
  <c r="C18" i="2" s="1"/>
  <c r="E18" i="2" l="1"/>
  <c r="D36" i="2"/>
  <c r="D34" i="2"/>
  <c r="D39" i="2"/>
  <c r="C39" i="2"/>
  <c r="D18" i="2"/>
  <c r="C36" i="2"/>
  <c r="C34" i="2"/>
  <c r="F16" i="2"/>
  <c r="B34" i="4"/>
  <c r="C34" i="4" s="1"/>
  <c r="E33" i="4"/>
  <c r="C33" i="4"/>
  <c r="B33" i="4"/>
  <c r="E32" i="4"/>
  <c r="D32" i="4"/>
  <c r="C32" i="4"/>
  <c r="B32" i="4"/>
  <c r="E31" i="4"/>
  <c r="D31" i="4"/>
  <c r="D33" i="4" s="1"/>
  <c r="C31" i="4"/>
  <c r="B31" i="4"/>
  <c r="F16" i="4"/>
  <c r="E16" i="4"/>
  <c r="D16" i="4"/>
  <c r="C16" i="4"/>
  <c r="F15" i="4"/>
  <c r="E15" i="4"/>
  <c r="D15" i="4"/>
  <c r="C15" i="4"/>
  <c r="F8" i="4"/>
  <c r="E8" i="4"/>
  <c r="D8" i="4"/>
  <c r="C8" i="4"/>
  <c r="B41" i="3"/>
  <c r="B40" i="3"/>
  <c r="C40" i="3" s="1"/>
  <c r="D40" i="3" s="1"/>
  <c r="E40" i="3" s="1"/>
  <c r="B39" i="3"/>
  <c r="C39" i="3" s="1"/>
  <c r="B38" i="3"/>
  <c r="C38" i="3" s="1"/>
  <c r="D38" i="3" s="1"/>
  <c r="E38" i="3" s="1"/>
  <c r="F16" i="3"/>
  <c r="E16" i="3"/>
  <c r="D16" i="3"/>
  <c r="C16" i="3"/>
  <c r="E71" i="2"/>
  <c r="D71" i="2"/>
  <c r="C71" i="2"/>
  <c r="C68" i="2"/>
  <c r="D68" i="2" s="1"/>
  <c r="E68" i="2" s="1"/>
  <c r="C67" i="2"/>
  <c r="E25" i="2"/>
  <c r="D25" i="2"/>
  <c r="C25" i="2"/>
  <c r="C37" i="2" l="1"/>
  <c r="C35" i="2"/>
  <c r="C38" i="2"/>
  <c r="F18" i="2"/>
  <c r="E36" i="2"/>
  <c r="E39" i="2"/>
  <c r="E34" i="2"/>
  <c r="D37" i="2"/>
  <c r="D35" i="2"/>
  <c r="D38" i="2"/>
  <c r="D67" i="2"/>
  <c r="C69" i="2"/>
  <c r="C70" i="2"/>
  <c r="D39" i="3"/>
  <c r="C41" i="3"/>
  <c r="D34" i="4"/>
  <c r="E34" i="4" s="1"/>
  <c r="E37" i="2" l="1"/>
  <c r="E35" i="2"/>
  <c r="E38" i="2"/>
  <c r="B71" i="2" s="1"/>
  <c r="B70" i="2"/>
  <c r="D41" i="3"/>
  <c r="E39" i="3"/>
  <c r="E41" i="3" s="1"/>
  <c r="E67" i="2"/>
  <c r="D70" i="2"/>
  <c r="D69" i="2"/>
  <c r="E70" i="2" l="1"/>
  <c r="E69" i="2"/>
</calcChain>
</file>

<file path=xl/sharedStrings.xml><?xml version="1.0" encoding="utf-8"?>
<sst xmlns="http://schemas.openxmlformats.org/spreadsheetml/2006/main" count="299" uniqueCount="209">
  <si>
    <t>RAIL VIKAS NIGAM LIMITED (RVNL)</t>
  </si>
  <si>
    <t>Business Performance Analysis  |  FY 2021-22 to FY 2024-25</t>
  </si>
  <si>
    <t>Model made by Anjani Kumar Mishra</t>
  </si>
  <si>
    <t>About RVNL</t>
  </si>
  <si>
    <t>Rail Vikas Nigam Limited (RVNL) is a Navratna Central Public Sector Enterprise under the Ministry of Railways, Government of India. Incorporated in 2003, RVNL executes railway infrastructure projects including doubling of rail lines, gauge conversion, new lines, electrification, metro, bridges, and workshop projects. It works on a turnkey model where it plans, arranges funds, executes, and hands over completed projects to Indian Railways.</t>
  </si>
  <si>
    <t>Revenue Model (How RVNL Earns Money)</t>
  </si>
  <si>
    <t>Primary Revenue:  RVNL earns a project management and supervision fee from Indian Railways. This fee is approximately 8.5% of the total project cost. For every railway project it executes, it charges this fee to the Ministry of Railways. This is the main source of income.</t>
  </si>
  <si>
    <t>How Revenue is Booked:  Revenue is not recognised all at once. It is booked as work progresses on each project, following the percentage-of-completion method under Ind AS 115. So if a project is 60% complete, 60% of the total fee is counted as revenue.</t>
  </si>
  <si>
    <t>Other Income:  Apart from project fees, RVNL also earns interest on bank deposits, dividend from its subsidiary and joint venture companies, and lease income. Other income has grown from Rs. 809 Crore (FY22) to Rs. 1,019 Crore (FY25).</t>
  </si>
  <si>
    <t>Key Point:  Because the fee percentage is fixed, RVNL margins stay stable year after year. What changes is the volume of projects executed. More projects = more revenue. Fewer projects or slow execution = lower revenue, as seen in FY25.</t>
  </si>
  <si>
    <t>Workbook Structure</t>
  </si>
  <si>
    <t>Sheet Name</t>
  </si>
  <si>
    <t>Contents</t>
  </si>
  <si>
    <t>HOME</t>
  </si>
  <si>
    <t>Company overview, revenue model, workbook guide</t>
  </si>
  <si>
    <t>P&amp;L Statement</t>
  </si>
  <si>
    <t>Income statement, growth, margins, cost breakdown, forecast, insights</t>
  </si>
  <si>
    <t>Balance Sheet</t>
  </si>
  <si>
    <t>Assets and liabilities, working capital, ratios, forecast, insights</t>
  </si>
  <si>
    <t>Cash Flow</t>
  </si>
  <si>
    <t>Cash flow statement, profit vs cash check, forecast, insights</t>
  </si>
  <si>
    <t>Raw Data</t>
  </si>
  <si>
    <t>All actual numbers from Annual Reports FY22 to FY25</t>
  </si>
  <si>
    <t>Key Insights</t>
  </si>
  <si>
    <t>Final summary, business story, suggestions for improvement</t>
  </si>
  <si>
    <t>Colour guide:  Blue text = numbers directly from annual reports  |  Black text = formulas that auto-calculate  |  Green text = values linked from another sheet</t>
  </si>
  <si>
    <t>A.  INCOME STATEMENT  (Rs. in Crore)  |  Blue numbers are from Annual Reports</t>
  </si>
  <si>
    <t>Particulars</t>
  </si>
  <si>
    <t>FY 2021-22</t>
  </si>
  <si>
    <t>FY 2022-23</t>
  </si>
  <si>
    <t>FY 2023-24</t>
  </si>
  <si>
    <t>FY 2024-25</t>
  </si>
  <si>
    <t>Revenue from Operations</t>
  </si>
  <si>
    <t>Other Income</t>
  </si>
  <si>
    <t>Total Income</t>
  </si>
  <si>
    <t>EXPENSES</t>
  </si>
  <si>
    <t>Project and Operations Cost</t>
  </si>
  <si>
    <t>Employee Benefits Expense</t>
  </si>
  <si>
    <t>Finance Costs</t>
  </si>
  <si>
    <t>Depreciation</t>
  </si>
  <si>
    <t>Other Expenses</t>
  </si>
  <si>
    <t>Total Expenses</t>
  </si>
  <si>
    <t>PROFIT</t>
  </si>
  <si>
    <t>Profit Before Tax</t>
  </si>
  <si>
    <t>Total Tax Expense</t>
  </si>
  <si>
    <t>Profit After Tax (PAT)</t>
  </si>
  <si>
    <t>B.  REVENUE ANALYSIS  (Year-on-Year change in Revenue)</t>
  </si>
  <si>
    <t>Metric</t>
  </si>
  <si>
    <t>Revenue This Year (Rs. Crore)</t>
  </si>
  <si>
    <t>Revenue Last Year (Rs. Crore)</t>
  </si>
  <si>
    <t>Change in Revenue (Rs. Crore)</t>
  </si>
  <si>
    <t>Revenue Growth Percentage</t>
  </si>
  <si>
    <t>Revenue Insights</t>
  </si>
  <si>
    <t>Revenue grew from Rs. 19,382 Crore in FY22 to Rs. 21,733 Crore in FY24, showing consistent growth driven by increased government spending on railway infrastructure.</t>
  </si>
  <si>
    <t>Revenue dipped to Rs. 19,869 Crore in FY25. This was not a business failure but a timing issue. Large projects completed in FY24 left a gap before new projects ramped up.</t>
  </si>
  <si>
    <t>Revenue growth is directly linked to the Indian government railway budget, which has grown nearly 9 times over the last decade, providing strong long-term visibility.</t>
  </si>
  <si>
    <t>Other income has also grown steadily from Rs. 809 Crore to Rs. 1,019 Crore, showing RVNL is earning more from deposits and subsidiaries alongside its core business.</t>
  </si>
  <si>
    <t>C.  PROFIT ANALYSIS  (Profit margins and growth)</t>
  </si>
  <si>
    <t>Profit Before Tax (Rs. Crore)</t>
  </si>
  <si>
    <t>Profit After Tax (Rs. Crore)</t>
  </si>
  <si>
    <t>PBT Growth Percentage</t>
  </si>
  <si>
    <t>PAT Growth Percentage</t>
  </si>
  <si>
    <t>Net Profit Margin (PAT / Revenue)</t>
  </si>
  <si>
    <t>PBT Margin (PBT / Revenue)</t>
  </si>
  <si>
    <t>Profit Insights</t>
  </si>
  <si>
    <t>Profit margins have remained stable across all years, ranging between 5.4% and 6.7%. This shows RVNL has a controlled cost structure.</t>
  </si>
  <si>
    <t>PAT grew strongly from Rs. 1,087 Crore in FY22 to Rs. 1,463 Crore in FY24, showing profit growth aligned with revenue growth.</t>
  </si>
  <si>
    <t>PAT fell in FY25 to Rs. 1,189 Crore due to lower revenue. However, the margin stayed stable at 5.9%, confirming cost discipline is intact.</t>
  </si>
  <si>
    <t>The fixed fee model means margins do not swing wildly. When revenue goes up, profit goes up in the same proportion. This is predictable and stable.</t>
  </si>
  <si>
    <t>D.  COST BREAKDOWN  (Each cost as a percentage of Revenue)</t>
  </si>
  <si>
    <t>Cost Type</t>
  </si>
  <si>
    <t>Cost Insights</t>
  </si>
  <si>
    <t>Project cost makes up approximately 92% of revenue. This is expected because RVNL is an execution company and pays contractors on behalf of Railways.</t>
  </si>
  <si>
    <t>Employee cost is very lean at less than 1% of revenue and has been declining each year, showing good operational efficiency.</t>
  </si>
  <si>
    <t>Finance costs are declining each year from Rs. 581 Crore to Rs. 540 Crore as RVNL repays its long-term debt steadily.</t>
  </si>
  <si>
    <t>Other expenses grew the fastest, from Rs. 91 Crore in FY22 to Rs. 200 Crore in FY25. This is a trend to watch and manage carefully.</t>
  </si>
  <si>
    <t>Assumption</t>
  </si>
  <si>
    <t>FY 2025-26 (F)</t>
  </si>
  <si>
    <t>FY 2026-27 (F)</t>
  </si>
  <si>
    <t>FY 2027-28 (F)</t>
  </si>
  <si>
    <t>Revenue Growth Rate Assumption</t>
  </si>
  <si>
    <t>PAT Margin Assumption (PAT divided by Revenue)</t>
  </si>
  <si>
    <t>Other Income Growth Assumption</t>
  </si>
  <si>
    <t>Item (Rs. Crore)</t>
  </si>
  <si>
    <t>FY 2025-26 (Forecast)</t>
  </si>
  <si>
    <t>FY 2026-27 (Forecast)</t>
  </si>
  <si>
    <t>FY 2027-28 (Forecast)</t>
  </si>
  <si>
    <t>Government Railway Budget:  RVNL revenue is directly linked to how much the Indian Government allocates to railways each year. Higher budget means more projects, which means more revenue for RVNL. The railway budget has grown nearly 9 times over the last decade, supporting strong long-term revenue growth.</t>
  </si>
  <si>
    <t>Number and Size of Active Projects:  More projects under execution means higher revenue recognition in that year. FY25 revenue fell because large projects completed in FY24 and new projects were only in early stages. A healthy order book with steady new project awards is critical for consistent revenue.</t>
  </si>
  <si>
    <t>Project Execution Speed:  Revenue is recognised as work progresses. Faster execution means faster revenue booking. Delays due to land acquisition issues, contractor problems, or weather directly reduce revenue in that period.</t>
  </si>
  <si>
    <t>Fixed Fee Model Protecting Margins:  RVNL earns a fixed percentage fee on each project. This protects margins from rising input costs. Net profit margin has stayed between 5.4% and 6.7% across all four years, showing margin stability.</t>
  </si>
  <si>
    <t>Reduce dependence on one client. Growing Metro, international, and private sector revenue to 20% of total will reduce concentration risk.</t>
  </si>
  <si>
    <t>Other expenses grew from Rs. 91 Crore to Rs. 200 Crore over four years, a 119% increase. A detailed review of this line item is recommended.</t>
  </si>
  <si>
    <t>Finance costs are declining as debt is repaid. Continuing this trend will improve PAT margins by reducing this fixed annual expense.</t>
  </si>
  <si>
    <t>Ensure a steady pipeline of new project awards so there are no large revenue gaps between completion of old projects and start of new ones.</t>
  </si>
  <si>
    <t>International projects in Mauritius, Nepal, and Sri Lanka carry better margins. Scaling this segment will improve overall profitability.</t>
  </si>
  <si>
    <t>TOTAL ASSETS</t>
  </si>
  <si>
    <t>Cash and Cash Equivalents</t>
  </si>
  <si>
    <t>Trade Receivables</t>
  </si>
  <si>
    <t>Total Equity (Net Worth)</t>
  </si>
  <si>
    <t>Long-Term Borrowings</t>
  </si>
  <si>
    <t>Trade Payables</t>
  </si>
  <si>
    <t>B.  WORKING CAPITAL  (Money RVNL is owed vs money RVNL owes others)</t>
  </si>
  <si>
    <t>Item</t>
  </si>
  <si>
    <t>C.  KEY RATIOS  (Measuring financial health)</t>
  </si>
  <si>
    <t>Ratio</t>
  </si>
  <si>
    <t>Debt to Equity Ratio  (Long-Term Borrowings divided by Equity)</t>
  </si>
  <si>
    <t>Asset to Equity Ratio  (Total Assets divided by Equity)</t>
  </si>
  <si>
    <t>Current Ratio  (from Annual Reports)</t>
  </si>
  <si>
    <t>Debt to Equity  (from Annual Reports)</t>
  </si>
  <si>
    <t>Balance Sheet Insights</t>
  </si>
  <si>
    <t>Total equity grew from Rs. 5,631 Crore in FY22 to Rs. 8,624 Crore in FY25, a 53% increase driven entirely by retained profits, not by issuing new shares.</t>
  </si>
  <si>
    <t>Long-term debt fell steadily from Rs. 6,315 Crore to Rs. 4,890 Crore. The debt to equity ratio improved from 0.99 to 0.62, showing a much stronger financial position.</t>
  </si>
  <si>
    <t>Trade receivables rose from Rs. 938 Crore to Rs. 1,490 Crore and receivable days increased from 18 to 27 days. Indian Railways is taking slightly longer to pay, which is a trend to monitor.</t>
  </si>
  <si>
    <t>Cash balance tripled from Rs. 808 Crore in FY23 to Rs. 3,045 Crore in FY25, showing significant improvement in liquidity and financial security.</t>
  </si>
  <si>
    <t>D.  BALANCE SHEET FORECAST ASSUMPTIONS  (Change blue cells to update)</t>
  </si>
  <si>
    <t>Net Worth Growth Rate (from retained profits)</t>
  </si>
  <si>
    <t>Debt Reduction per Year (Rs. Crore)</t>
  </si>
  <si>
    <t>Trade Receivable Growth Rate</t>
  </si>
  <si>
    <t>Balance Sheet Forecast Output  (Black formulas auto-calculate)</t>
  </si>
  <si>
    <t>Suggestions for Balance Sheet Improvement</t>
  </si>
  <si>
    <t>Receivable days are increasing from 18 to 27 days. Negotiate faster payment terms with Indian Railways to improve cash conversion.</t>
  </si>
  <si>
    <t>Cash balance of Rs. 3,045 Crore in FY25 is strong. Consider deploying part of it in short-term fixed deposits to earn additional interest income.</t>
  </si>
  <si>
    <t>Continue the debt repayment trend. Reaching a debt to equity ratio below 0.5 in the next two years will significantly reduce annual finance costs.</t>
  </si>
  <si>
    <t>Total assets grew only moderately in FY25. Ensure capital is deployed into productive projects to maintain return on assets at healthy levels.</t>
  </si>
  <si>
    <t>CASH FLOW STATEMENT  |  RVNL  |  FY 2021-22 to FY 2024-25  |  Model made by Anjani Kumar Mishra</t>
  </si>
  <si>
    <t>A.  CASH FLOW STATEMENT  (Rs. in Crore)  |  Blue numbers are from Annual Reports</t>
  </si>
  <si>
    <t>Operating Cash Flow</t>
  </si>
  <si>
    <t>Investing Cash Flow</t>
  </si>
  <si>
    <t>Financing Cash Flow</t>
  </si>
  <si>
    <t>Net Change in Cash</t>
  </si>
  <si>
    <t>Closing Cash Balance</t>
  </si>
  <si>
    <t>Operating Cash Flow (OCF)</t>
  </si>
  <si>
    <t>OCF minus PAT  (positive means more cash than profit)</t>
  </si>
  <si>
    <t>OCF as a multiple of PAT  (above 1.0 is healthy)</t>
  </si>
  <si>
    <t>Cash Flow Insights</t>
  </si>
  <si>
    <t>FY22 had very strong operating cash flow of Rs. 4,806 Crore, showing RVNL was efficiently collecting payments from Indian Railways.</t>
  </si>
  <si>
    <t>FY23 is the most critical year to understand. Despite making a profit of Rs. 1,268 Crore, operating cash flow was negative at Rs. 4,080 Crore. This happened because RVNL completed large amounts of work but Indian Railways delayed payments. Profit was booked on paper but cash was not received.</t>
  </si>
  <si>
    <t>FY24 and FY25 saw strong recovery in operating cash flow as Indian Railways cleared its pending dues. Cash balance recovered from Rs. 808 Crore to Rs. 3,045 Crore.</t>
  </si>
  <si>
    <t>Strong operating cash flow indicates healthy project execution and good financial quality. When cash flow is consistently above profit, it confirms the business is genuinely generating value.</t>
  </si>
  <si>
    <t>This analysis shows why FP&amp;A professionals always check cash flow alongside profit. A company can report high profit but still face cash shortage if collections are delayed.</t>
  </si>
  <si>
    <t>Expected PAT (Rs. Crore)</t>
  </si>
  <si>
    <t>Operating CF as a multiple of PAT (assumption)</t>
  </si>
  <si>
    <t>Financing Cash Flow estimate (Rs. Crore)</t>
  </si>
  <si>
    <t>Suggestions for Cash Flow Management</t>
  </si>
  <si>
    <t>Operating cash flow should consistently stay above profit after tax. If operating CF falls below PAT for two or more years, it signals a collections problem that needs urgent attention.</t>
  </si>
  <si>
    <t>Receivable days increased to 27 in FY25. Work with the Ministry of Railways to ensure timely payment within agreed timelines to maintain healthy operating cash flow.</t>
  </si>
  <si>
    <t>The cash balance of Rs. 3,045 Crore at end of FY25 is an opportunity. Deploying this in short-term instruments will generate additional interest income with no business risk.</t>
  </si>
  <si>
    <t>Financing cash flow is consistently negative because RVNL is repaying debt and paying dividends. This is healthy and expected. Continue this disciplined approach.</t>
  </si>
  <si>
    <t>Target maintaining a minimum cash balance of Rs. 2,000 Crore at all times to cover any unexpected delays in government payments or project cash needs.</t>
  </si>
  <si>
    <t>Particulars (Rs. Crore)</t>
  </si>
  <si>
    <t>INCOME</t>
  </si>
  <si>
    <t>Profit Before Tax (PBT)</t>
  </si>
  <si>
    <t>BALANCE SHEET</t>
  </si>
  <si>
    <t>Total Assets</t>
  </si>
  <si>
    <t>CASH FLOW</t>
  </si>
  <si>
    <t>Sources: RVNL Annual Report 2022-23, 2023-24, 2024-25 (Standalone Financial Statements)</t>
  </si>
  <si>
    <t>This page tells the business story behind the numbers. FP&amp;A is about explaining why numbers changed, not just what they are.</t>
  </si>
  <si>
    <t>Revenue and Growth Story</t>
  </si>
  <si>
    <t>RVNL shows consistent revenue growth from FY22 to FY24, driven directly by increased Indian government spending on railway infrastructure. Revenue grew from Rs. 19,382 Crore to Rs. 21,733 Crore during this period.</t>
  </si>
  <si>
    <t>Revenue dipped in FY25 to Rs. 19,869 Crore. This was a timing issue, not a business problem. Large projects completed in FY24 left a temporary gap before new projects picked up pace.</t>
  </si>
  <si>
    <t>Strong government backing from the Ministry of Railways ensures stable revenue visibility. India's railway budget has grown nearly 9 times over the last decade, providing a very strong long-term pipeline for RVNL.</t>
  </si>
  <si>
    <t>RVNL is expanding into international markets including Mauritius, Nepal, Sri Lanka, and Ethiopia. This diversification reduces dependence on one client and opens new revenue streams with potentially better margins.</t>
  </si>
  <si>
    <t>Profitability and Margin Story</t>
  </si>
  <si>
    <t>Profit margins have remained remarkably stable across all four years, ranging from 5.4% to 6.7% net profit margin. This confirms RVNL has a controlled and disciplined cost structure.</t>
  </si>
  <si>
    <t>Profit growth from FY22 to FY24 was strong, rising from Rs. 1,087 Crore to Rs. 1,463 Crore. Profit growth was aligned with revenue growth, showing no margin compression or deterioration.</t>
  </si>
  <si>
    <t>The fixed fee model protects RVNL from cost escalation. Since the fee percentage is fixed, margins do not swing widely even when input costs change. This is a significant business strength.</t>
  </si>
  <si>
    <t>Finance costs are declining year on year as RVNL steadily repays its long-term debt. This reduction in interest burden will further improve net profit margins in coming years.</t>
  </si>
  <si>
    <t>Cash Flow Quality Story</t>
  </si>
  <si>
    <t>Strong operating cash flow in FY24 and FY25 indicates healthy project execution and confirms that profits are being converted into real cash. This is a sign of high financial quality.</t>
  </si>
  <si>
    <t>FY23 had negative operating cash flow despite posting healthy profit. This was because Indian Railways delayed payments. The sharp recovery in FY24 and FY25 confirms this was a temporary collection issue, not a structural weakness.</t>
  </si>
  <si>
    <t>Cash flow consistency with profitability demonstrates good financial quality. When operating cash flow equals or exceeds profit after tax, it confirms the business model is genuinely creating value.</t>
  </si>
  <si>
    <t>The cash balance tripled from Rs. 808 Crore in FY23 to Rs. 3,045 Crore in FY25. This strong liquidity position gives RVNL financial security and flexibility to handle any payment delays from Railways.</t>
  </si>
  <si>
    <t>Balance Sheet and Financial Strength Story</t>
  </si>
  <si>
    <t>The balance sheet has become significantly stronger over four years. Net worth grew 53% from Rs. 5,631 Crore to Rs. 8,624 Crore, entirely from retained profits, not from diluting shareholders.</t>
  </si>
  <si>
    <t>Long-term debt declined from Rs. 6,315 Crore to Rs. 4,890 Crore. Debt to equity ratio improved from 0.99 to 0.62. RVNL is moving toward a debt-free balance sheet which will further improve profitability.</t>
  </si>
  <si>
    <t>Rising trade receivables from Rs. 938 Crore to Rs. 1,490 Crore and receivable days increasing from 18 to 27 days is the one area of concern. If Railways continues to delay payments, it could strain operating cash flow again.</t>
  </si>
  <si>
    <t>Business Risks to Watch</t>
  </si>
  <si>
    <t>RVNL's entire revenue depends on one client, the Ministry of Railways. Any slowdown in government spending, policy change, or budget cut would directly impact revenue. This concentration risk is the biggest business risk.</t>
  </si>
  <si>
    <t>Government payment delays can cause operating cash flow to turn negative even when profits are healthy. The FY23 experience showed how dangerous this can be. Monitoring receivable days is critical.</t>
  </si>
  <si>
    <t>Project delays due to land acquisition problems, regulatory approvals, contractor issues, or weather reduce revenue in that period. RVNL has limited control over these external factors.</t>
  </si>
  <si>
    <t>Other expenses growing at 119% over four years while revenue grew only 2.5% is a trend that needs management attention before it begins to materially affect margins.</t>
  </si>
  <si>
    <t>Growth Outlook and Opportunities</t>
  </si>
  <si>
    <t>Growth outlook remains positive due to India's continued focus on infrastructure investment. Railway budget allocation has been rising consistently and there is no indication of this trend reversing.</t>
  </si>
  <si>
    <t>International expansion into developing countries provides new revenue streams with higher margins and less competition. This segment could meaningfully improve overall profitability over the next five years.</t>
  </si>
  <si>
    <t>India's metro rail expansion across 20 plus cities provides a large new market for RVNL's expertise. Metro projects tend to be high-value and technically complex, which suits RVNL's capabilities.</t>
  </si>
  <si>
    <t>RVNL's Navratna status gives it greater financial and operational autonomy, allowing faster decision-making on large projects. This competitive advantage should help it win more projects in the infrastructure sector.</t>
  </si>
  <si>
    <t>RVNL is a stable, government-backed infrastructure company with a clear and predictable business model. It earns a fixed fee for executing railway projects assigned by the Indian government.</t>
  </si>
  <si>
    <t>Revenue and profit grow when more projects are executed. Margins are protected because the fee percentage is fixed. The business does not face market competition for its core government-assigned work.</t>
  </si>
  <si>
    <t>The balance sheet is getting stronger each year as profits accumulate and debt is repaid. Cash position is improving significantly after the collection issues of FY23.</t>
  </si>
  <si>
    <t>The primary risk is concentration in one client and the timing mismatch between project completion and cash collection from Railways. Both risks are manageable and partially within RVNL's control.</t>
  </si>
  <si>
    <t>Long-term outlook is positive. India's infrastructure spending is growing, RVNL is diversifying into new geographies and sectors, and the financial fundamentals are improving year after year.</t>
  </si>
  <si>
    <t>PROFIT AND LOSS STATEMENT  |  RVNL  |  FY 2021-22 to FY 2024-25</t>
  </si>
  <si>
    <t xml:space="preserve">G.  BUSINESS DRIVERS  </t>
  </si>
  <si>
    <t>H.  SUGGESTIONS FOR IMPROVEMENT  (from P&amp;L Perspective)</t>
  </si>
  <si>
    <t>E.  FORECAST ASSUMPTIONS</t>
  </si>
  <si>
    <t>F.  FORECAST OUTPUT</t>
  </si>
  <si>
    <t>BALANCE SHEET  |  RVNL  |  FY 2021-22 to FY 2024-25</t>
  </si>
  <si>
    <t>Blue numbers are taken directly from annual reports</t>
  </si>
  <si>
    <t xml:space="preserve">KEY INSIGHTS AND BUSINESS INTERPRETATION  |  RVNL  </t>
  </si>
  <si>
    <t xml:space="preserve">Final FP&amp;A Summary </t>
  </si>
  <si>
    <t>KEY RAW DATA  |  RVNL Annual Reports 2022-23, 2023-24, 2024-25</t>
  </si>
  <si>
    <t xml:space="preserve">C.  CASH FLOW FORECAST ASSUMPTIONS  </t>
  </si>
  <si>
    <t>D.  CASH FLOW FORECAST OUTPUT</t>
  </si>
  <si>
    <t xml:space="preserve">B.  PROFIT VS CASH CHECK </t>
  </si>
  <si>
    <t xml:space="preserve">A.  BALANCE SHEET KEY ITEMS  (Rs. in Crore) </t>
  </si>
  <si>
    <t xml:space="preserve">Receivable Days </t>
  </si>
  <si>
    <t xml:space="preserve">Trade Payables  </t>
  </si>
  <si>
    <t>Net Working Capital  (Receivables - Payables)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</si>
</sst>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1" x14ac:knownFonts="1">
    <font>
      <sz val="11"/>
      <color theme="1"/>
      <name val="Calibri"/>
      <family val="2"/>
      <charset val="1"/>
    </font>
    <font>
      <b/>
      <sz val="16"/>
      <color rgb="FFFFFFFF"/>
      <name val="Arial"/>
      <charset val="1"/>
    </font>
    <font>
      <b/>
      <sz val="11"/>
      <color rgb="FFD4AF37"/>
      <name val="Arial"/>
      <charset val="1"/>
    </font>
    <font>
      <i/>
      <sz val="9"/>
      <color rgb="FFD4AF37"/>
      <name val="Arial"/>
      <charset val="1"/>
    </font>
    <font>
      <b/>
      <sz val="9"/>
      <color rgb="FFFFFFFF"/>
      <name val="Arial"/>
      <charset val="1"/>
    </font>
    <font>
      <sz val="9"/>
      <color rgb="FF333333"/>
      <name val="Arial"/>
      <charset val="1"/>
    </font>
    <font>
      <b/>
      <sz val="9"/>
      <color rgb="FF1B3A6B"/>
      <name val="Arial"/>
      <charset val="1"/>
    </font>
    <font>
      <i/>
      <sz val="8"/>
      <color rgb="FF333333"/>
      <name val="Arial"/>
      <charset val="1"/>
    </font>
    <font>
      <i/>
      <sz val="8"/>
      <color rgb="FFD4AF37"/>
      <name val="Arial"/>
      <charset val="1"/>
    </font>
    <font>
      <b/>
      <sz val="11"/>
      <color rgb="FFFFFFFF"/>
      <name val="Arial"/>
      <charset val="1"/>
    </font>
    <font>
      <sz val="9"/>
      <color rgb="FF0000FF"/>
      <name val="Arial"/>
      <charset val="1"/>
    </font>
    <font>
      <b/>
      <sz val="9"/>
      <color rgb="FF333333"/>
      <name val="Arial"/>
      <charset val="1"/>
    </font>
    <font>
      <b/>
      <sz val="9"/>
      <color rgb="FF000000"/>
      <name val="Arial"/>
      <charset val="1"/>
    </font>
    <font>
      <sz val="9"/>
      <color rgb="FF000000"/>
      <name val="Arial"/>
      <charset val="1"/>
    </font>
    <font>
      <sz val="9"/>
      <color rgb="FF1A6B1A"/>
      <name val="Arial"/>
      <charset val="1"/>
    </font>
    <font>
      <i/>
      <sz val="8"/>
      <color rgb="FF0000FF"/>
      <name val="Arial"/>
      <charset val="1"/>
    </font>
    <font>
      <i/>
      <sz val="8"/>
      <color rgb="FF808080"/>
      <name val="Arial"/>
      <charset val="1"/>
    </font>
    <font>
      <b/>
      <sz val="12"/>
      <color rgb="FFFFFFFF"/>
      <name val="Arial"/>
      <charset val="1"/>
    </font>
    <font>
      <i/>
      <sz val="9"/>
      <color rgb="FF333333"/>
      <name val="Arial"/>
      <charset val="1"/>
    </font>
    <font>
      <b/>
      <sz val="10"/>
      <color rgb="FFFFFFFF"/>
      <name val="Arial"/>
      <charset val="1"/>
    </font>
    <font>
      <sz val="9"/>
      <color theme="3"/>
      <name val="Arial"/>
      <family val="2"/>
    </font>
  </fonts>
  <fills count="11">
    <fill>
      <patternFill patternType="none"/>
    </fill>
    <fill>
      <patternFill patternType="gray125"/>
    </fill>
    <fill>
      <patternFill patternType="solid">
        <fgColor rgb="FF1B3A6B"/>
        <bgColor rgb="FF333399"/>
      </patternFill>
    </fill>
    <fill>
      <patternFill patternType="solid">
        <fgColor rgb="FFDCE9F5"/>
        <bgColor rgb="FFE0F4F1"/>
      </patternFill>
    </fill>
    <fill>
      <patternFill patternType="solid">
        <fgColor rgb="FFFFFBF0"/>
        <bgColor rgb="FFFFFFFF"/>
      </patternFill>
    </fill>
    <fill>
      <patternFill patternType="solid">
        <fgColor rgb="FF2E5FA3"/>
        <bgColor rgb="FF3366FF"/>
      </patternFill>
    </fill>
    <fill>
      <patternFill patternType="solid">
        <fgColor rgb="FFFFFFFF"/>
        <bgColor rgb="FFFFFBF0"/>
      </patternFill>
    </fill>
    <fill>
      <patternFill patternType="solid">
        <fgColor rgb="FFFFF3CD"/>
        <bgColor rgb="FFFFFBF0"/>
      </patternFill>
    </fill>
    <fill>
      <patternFill patternType="solid">
        <fgColor rgb="FFF0F0F0"/>
        <bgColor rgb="FFE8F5E9"/>
      </patternFill>
    </fill>
    <fill>
      <patternFill patternType="solid">
        <fgColor rgb="FFE8F5E9"/>
        <bgColor rgb="FFE0F4F1"/>
      </patternFill>
    </fill>
    <fill>
      <patternFill patternType="solid">
        <fgColor rgb="FFE0F4F1"/>
        <bgColor rgb="FFE8F5E9"/>
      </patternFill>
    </fill>
  </fills>
  <borders count="7">
    <border>
      <left/>
      <right/>
      <top/>
      <bottom/>
      <diagonal/>
    </border>
    <border>
      <left style="thin">
        <color rgb="FFBFBFBF"/>
      </left>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top/>
      <bottom style="thin">
        <color rgb="FFBFBFB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67">
    <xf numFmtId="0" fontId="0" fillId="0" borderId="0" xfId="0"/>
    <xf numFmtId="0" fontId="0" fillId="0" borderId="0" xfId="0" applyAlignment="1"/>
    <xf numFmtId="0" fontId="4" fillId="5" borderId="2" xfId="0" applyFont="1" applyFill="1" applyBorder="1" applyAlignment="1">
      <alignment horizontal="left" vertical="center"/>
    </xf>
    <xf numFmtId="0" fontId="6" fillId="6" borderId="2" xfId="0" applyFont="1" applyFill="1" applyBorder="1" applyAlignment="1">
      <alignment horizontal="left" vertical="center"/>
    </xf>
    <xf numFmtId="0" fontId="5" fillId="6" borderId="2" xfId="0" applyFont="1" applyFill="1" applyBorder="1" applyAlignment="1">
      <alignment horizontal="left" vertical="center"/>
    </xf>
    <xf numFmtId="0" fontId="6" fillId="3" borderId="2" xfId="0" applyFont="1" applyFill="1" applyBorder="1" applyAlignment="1">
      <alignment horizontal="left" vertical="center"/>
    </xf>
    <xf numFmtId="0" fontId="5" fillId="3" borderId="2" xfId="0" applyFont="1" applyFill="1" applyBorder="1" applyAlignment="1">
      <alignment horizontal="left" vertical="center"/>
    </xf>
    <xf numFmtId="0" fontId="4" fillId="2" borderId="2" xfId="0" applyFont="1" applyFill="1" applyBorder="1" applyAlignment="1">
      <alignment horizontal="left" vertical="center"/>
    </xf>
    <xf numFmtId="0" fontId="4" fillId="2" borderId="2" xfId="0" applyFont="1" applyFill="1" applyBorder="1" applyAlignment="1">
      <alignment horizontal="center" vertical="center"/>
    </xf>
    <xf numFmtId="4" fontId="10" fillId="6" borderId="2" xfId="0" applyNumberFormat="1" applyFont="1" applyFill="1" applyBorder="1" applyAlignment="1">
      <alignment horizontal="right" vertical="center"/>
    </xf>
    <xf numFmtId="0" fontId="6" fillId="7" borderId="2" xfId="0" applyFont="1" applyFill="1" applyBorder="1" applyAlignment="1">
      <alignment horizontal="left" vertical="center"/>
    </xf>
    <xf numFmtId="4" fontId="10" fillId="7" borderId="2" xfId="0" applyNumberFormat="1" applyFont="1" applyFill="1" applyBorder="1" applyAlignment="1">
      <alignment horizontal="right" vertical="center"/>
    </xf>
    <xf numFmtId="0" fontId="5" fillId="8" borderId="2" xfId="0" applyFont="1" applyFill="1" applyBorder="1" applyAlignment="1">
      <alignment horizontal="left" vertical="center"/>
    </xf>
    <xf numFmtId="4" fontId="10" fillId="8" borderId="2" xfId="0" applyNumberFormat="1" applyFont="1" applyFill="1" applyBorder="1" applyAlignment="1">
      <alignment horizontal="right" vertical="center"/>
    </xf>
    <xf numFmtId="0" fontId="6" fillId="9" borderId="2" xfId="0" applyFont="1" applyFill="1" applyBorder="1" applyAlignment="1">
      <alignment horizontal="left" vertical="center"/>
    </xf>
    <xf numFmtId="4" fontId="10" fillId="9" borderId="2" xfId="0" applyNumberFormat="1" applyFont="1" applyFill="1" applyBorder="1" applyAlignment="1">
      <alignment horizontal="right" vertical="center"/>
    </xf>
    <xf numFmtId="4" fontId="12" fillId="7" borderId="2" xfId="0" applyNumberFormat="1" applyFont="1" applyFill="1" applyBorder="1" applyAlignment="1">
      <alignment horizontal="right" vertical="center"/>
    </xf>
    <xf numFmtId="164" fontId="13" fillId="6" borderId="2" xfId="0" applyNumberFormat="1" applyFont="1" applyFill="1" applyBorder="1" applyAlignment="1">
      <alignment horizontal="right" vertical="center"/>
    </xf>
    <xf numFmtId="164" fontId="13" fillId="8" borderId="2" xfId="0" applyNumberFormat="1" applyFont="1" applyFill="1" applyBorder="1" applyAlignment="1">
      <alignment horizontal="right" vertical="center"/>
    </xf>
    <xf numFmtId="164" fontId="12" fillId="7" borderId="2" xfId="0" applyNumberFormat="1" applyFont="1" applyFill="1" applyBorder="1" applyAlignment="1">
      <alignment horizontal="right" vertical="center"/>
    </xf>
    <xf numFmtId="0" fontId="5" fillId="7" borderId="2" xfId="0" applyFont="1" applyFill="1" applyBorder="1" applyAlignment="1">
      <alignment horizontal="left" vertical="center"/>
    </xf>
    <xf numFmtId="164" fontId="10" fillId="7" borderId="2" xfId="0" applyNumberFormat="1" applyFont="1" applyFill="1" applyBorder="1" applyAlignment="1">
      <alignment horizontal="right" vertical="center"/>
    </xf>
    <xf numFmtId="0" fontId="4" fillId="5" borderId="2" xfId="0" applyFont="1" applyFill="1" applyBorder="1" applyAlignment="1">
      <alignment horizontal="center" vertical="center" wrapText="1"/>
    </xf>
    <xf numFmtId="4" fontId="13" fillId="8" borderId="2" xfId="0" applyNumberFormat="1" applyFont="1" applyFill="1" applyBorder="1" applyAlignment="1">
      <alignment horizontal="right" vertical="center"/>
    </xf>
    <xf numFmtId="4" fontId="13" fillId="6" borderId="2" xfId="0" applyNumberFormat="1" applyFont="1" applyFill="1" applyBorder="1" applyAlignment="1">
      <alignment horizontal="right" vertical="center"/>
    </xf>
    <xf numFmtId="4" fontId="12" fillId="9" borderId="2" xfId="0" applyNumberFormat="1" applyFont="1" applyFill="1" applyBorder="1" applyAlignment="1">
      <alignment horizontal="right" vertical="center"/>
    </xf>
    <xf numFmtId="4" fontId="14" fillId="6" borderId="2" xfId="0" applyNumberFormat="1" applyFont="1" applyFill="1" applyBorder="1" applyAlignment="1">
      <alignment horizontal="right" vertical="center"/>
    </xf>
    <xf numFmtId="4" fontId="14" fillId="8" borderId="2" xfId="0" applyNumberFormat="1" applyFont="1" applyFill="1" applyBorder="1" applyAlignment="1">
      <alignment horizontal="right" vertical="center"/>
    </xf>
    <xf numFmtId="165" fontId="13" fillId="6" borderId="2" xfId="0" applyNumberFormat="1" applyFont="1" applyFill="1" applyBorder="1" applyAlignment="1">
      <alignment horizontal="right" vertical="center"/>
    </xf>
    <xf numFmtId="2" fontId="13" fillId="6" borderId="2" xfId="0" applyNumberFormat="1" applyFont="1" applyFill="1" applyBorder="1" applyAlignment="1">
      <alignment horizontal="right" vertical="center"/>
    </xf>
    <xf numFmtId="2" fontId="13" fillId="8" borderId="2" xfId="0" applyNumberFormat="1" applyFont="1" applyFill="1" applyBorder="1" applyAlignment="1">
      <alignment horizontal="right" vertical="center"/>
    </xf>
    <xf numFmtId="2" fontId="10" fillId="6" borderId="2" xfId="0" applyNumberFormat="1" applyFont="1" applyFill="1" applyBorder="1" applyAlignment="1">
      <alignment horizontal="right" vertical="center"/>
    </xf>
    <xf numFmtId="2" fontId="10" fillId="8" borderId="2" xfId="0" applyNumberFormat="1" applyFont="1" applyFill="1" applyBorder="1" applyAlignment="1">
      <alignment horizontal="right" vertical="center"/>
    </xf>
    <xf numFmtId="2" fontId="10" fillId="7" borderId="2" xfId="0" applyNumberFormat="1" applyFont="1" applyFill="1" applyBorder="1" applyAlignment="1">
      <alignment horizontal="right" vertical="center"/>
    </xf>
    <xf numFmtId="0" fontId="6" fillId="8" borderId="2" xfId="0" applyFont="1" applyFill="1" applyBorder="1" applyAlignment="1">
      <alignment horizontal="left" vertical="center"/>
    </xf>
    <xf numFmtId="0" fontId="6" fillId="8" borderId="2" xfId="0" applyFont="1" applyFill="1" applyBorder="1" applyAlignment="1"/>
    <xf numFmtId="0" fontId="16" fillId="0" borderId="0" xfId="0" applyFont="1" applyAlignment="1"/>
    <xf numFmtId="0" fontId="17" fillId="2" borderId="0" xfId="0" applyFont="1" applyFill="1" applyAlignment="1">
      <alignment horizontal="center" vertical="center"/>
    </xf>
    <xf numFmtId="0" fontId="18" fillId="3" borderId="2" xfId="0" applyFont="1" applyFill="1" applyBorder="1" applyAlignment="1">
      <alignment horizontal="center" vertical="center" wrapText="1"/>
    </xf>
    <xf numFmtId="0" fontId="19" fillId="5" borderId="0" xfId="0" applyFont="1" applyFill="1" applyAlignment="1">
      <alignment horizontal="left" vertical="center"/>
    </xf>
    <xf numFmtId="0" fontId="5" fillId="4" borderId="2" xfId="0" applyFont="1" applyFill="1" applyBorder="1" applyAlignment="1">
      <alignment horizontal="left" vertical="center" wrapText="1"/>
    </xf>
    <xf numFmtId="0" fontId="5" fillId="3" borderId="2" xfId="0" applyFont="1" applyFill="1" applyBorder="1" applyAlignment="1">
      <alignment horizontal="left" vertical="center" wrapText="1"/>
    </xf>
    <xf numFmtId="0" fontId="19" fillId="2" borderId="0" xfId="0" applyFont="1" applyFill="1" applyAlignment="1">
      <alignment horizontal="left" vertical="center"/>
    </xf>
    <xf numFmtId="0" fontId="5" fillId="9" borderId="2" xfId="0" applyFont="1" applyFill="1" applyBorder="1" applyAlignment="1">
      <alignment horizontal="left" vertical="center" wrapText="1"/>
    </xf>
    <xf numFmtId="0" fontId="5" fillId="10" borderId="2" xfId="0" applyFont="1" applyFill="1" applyBorder="1" applyAlignment="1">
      <alignment horizontal="left" vertical="center" wrapText="1"/>
    </xf>
    <xf numFmtId="0" fontId="8" fillId="2" borderId="0" xfId="0" applyFont="1" applyFill="1" applyAlignment="1">
      <alignment horizontal="center" vertical="center"/>
    </xf>
    <xf numFmtId="0" fontId="4" fillId="2" borderId="0" xfId="0" applyFont="1" applyFill="1" applyBorder="1" applyAlignment="1">
      <alignment horizontal="left" vertical="center"/>
    </xf>
    <xf numFmtId="0" fontId="7" fillId="7" borderId="1" xfId="0" applyFont="1" applyFill="1" applyBorder="1" applyAlignment="1">
      <alignment horizontal="left" vertical="center" wrapText="1"/>
    </xf>
    <xf numFmtId="0" fontId="8" fillId="2" borderId="0" xfId="0" applyFont="1" applyFill="1" applyBorder="1" applyAlignment="1">
      <alignment horizontal="center" vertical="center"/>
    </xf>
    <xf numFmtId="0" fontId="5" fillId="4"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1" fillId="2" borderId="0" xfId="0" applyFont="1" applyFill="1" applyBorder="1" applyAlignment="1">
      <alignment horizontal="center" vertical="center"/>
    </xf>
    <xf numFmtId="0" fontId="2"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5" fillId="3" borderId="1" xfId="0" applyFont="1" applyFill="1" applyBorder="1" applyAlignment="1">
      <alignment horizontal="left" vertical="top" wrapText="1"/>
    </xf>
    <xf numFmtId="0" fontId="5" fillId="7" borderId="1" xfId="0" applyFont="1" applyFill="1" applyBorder="1" applyAlignment="1">
      <alignment horizontal="left" vertical="center" wrapText="1"/>
    </xf>
    <xf numFmtId="0" fontId="4" fillId="5" borderId="0" xfId="0" applyFont="1" applyFill="1" applyBorder="1" applyAlignment="1">
      <alignment horizontal="left" vertical="center"/>
    </xf>
    <xf numFmtId="0" fontId="11" fillId="10" borderId="4" xfId="0" applyFont="1" applyFill="1" applyBorder="1" applyAlignment="1">
      <alignment horizontal="left" vertical="center"/>
    </xf>
    <xf numFmtId="0" fontId="11" fillId="10" borderId="5" xfId="0" applyFont="1" applyFill="1" applyBorder="1" applyAlignment="1">
      <alignment horizontal="left" vertical="center"/>
    </xf>
    <xf numFmtId="0" fontId="11" fillId="10" borderId="6" xfId="0" applyFont="1" applyFill="1" applyBorder="1" applyAlignment="1">
      <alignment horizontal="left" vertical="center"/>
    </xf>
    <xf numFmtId="0" fontId="5" fillId="3" borderId="3" xfId="0" applyFont="1" applyFill="1" applyBorder="1" applyAlignment="1">
      <alignment horizontal="left" vertical="center" wrapText="1"/>
    </xf>
    <xf numFmtId="0" fontId="9" fillId="2" borderId="0" xfId="0" applyFont="1" applyFill="1" applyBorder="1" applyAlignment="1">
      <alignment horizontal="center" vertical="center"/>
    </xf>
    <xf numFmtId="0" fontId="11" fillId="8" borderId="0" xfId="0" applyFont="1" applyFill="1" applyBorder="1" applyAlignment="1">
      <alignment horizontal="left" vertical="center"/>
    </xf>
    <xf numFmtId="0" fontId="5" fillId="4" borderId="3" xfId="0" applyFont="1" applyFill="1" applyBorder="1" applyAlignment="1">
      <alignment horizontal="left" vertical="center" wrapText="1"/>
    </xf>
    <xf numFmtId="0" fontId="15" fillId="3" borderId="0" xfId="0" applyFont="1" applyFill="1" applyBorder="1" applyAlignment="1">
      <alignment horizontal="center" vertical="center"/>
    </xf>
    <xf numFmtId="0" fontId="20" fillId="6" borderId="2" xfId="0" applyFont="1" applyFill="1" applyBorder="1" applyAlignment="1">
      <alignment horizontal="right" vertical="center"/>
    </xf>
    <xf numFmtId="0" fontId="20" fillId="8" borderId="2" xfId="0" applyFont="1" applyFill="1" applyBorder="1" applyAlignment="1">
      <alignment horizontal="right"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1A6B1A"/>
      <rgbColor rgb="FF000080"/>
      <rgbColor rgb="FF808000"/>
      <rgbColor rgb="FF800080"/>
      <rgbColor rgb="FF008080"/>
      <rgbColor rgb="FFBFBFBF"/>
      <rgbColor rgb="FF808080"/>
      <rgbColor rgb="FF9999FF"/>
      <rgbColor rgb="FF993366"/>
      <rgbColor rgb="FFFFF3CD"/>
      <rgbColor rgb="FFE0F4F1"/>
      <rgbColor rgb="FF660066"/>
      <rgbColor rgb="FFFF8080"/>
      <rgbColor rgb="FF2E5FA3"/>
      <rgbColor rgb="FFF0F0F0"/>
      <rgbColor rgb="FF000080"/>
      <rgbColor rgb="FFFF00FF"/>
      <rgbColor rgb="FFFFFF00"/>
      <rgbColor rgb="FF00FFFF"/>
      <rgbColor rgb="FF800080"/>
      <rgbColor rgb="FF800000"/>
      <rgbColor rgb="FF008080"/>
      <rgbColor rgb="FF0000FF"/>
      <rgbColor rgb="FF00CCFF"/>
      <rgbColor rgb="FFE8F5E9"/>
      <rgbColor rgb="FFDCE9F5"/>
      <rgbColor rgb="FFFFFBF0"/>
      <rgbColor rgb="FF99CCFF"/>
      <rgbColor rgb="FFFF99CC"/>
      <rgbColor rgb="FFCC99FF"/>
      <rgbColor rgb="FFFFCC99"/>
      <rgbColor rgb="FF3366FF"/>
      <rgbColor rgb="FF33CCCC"/>
      <rgbColor rgb="FF99CC00"/>
      <rgbColor rgb="FFFFCC00"/>
      <rgbColor rgb="FFD4AF37"/>
      <rgbColor rgb="FFFF6600"/>
      <rgbColor rgb="FF666699"/>
      <rgbColor rgb="FF969696"/>
      <rgbColor rgb="FF1B3A6B"/>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zoomScaleNormal="100" workbookViewId="0">
      <selection activeCell="D29" sqref="D29"/>
    </sheetView>
  </sheetViews>
  <sheetFormatPr defaultColWidth="8.7109375" defaultRowHeight="15" x14ac:dyDescent="0.25"/>
  <cols>
    <col min="1" max="1" width="2" style="1" customWidth="1"/>
    <col min="2" max="2" width="42" style="1" customWidth="1"/>
    <col min="3" max="3" width="57.85546875" style="1" bestFit="1" customWidth="1"/>
    <col min="4" max="4" width="64.5703125" style="1" customWidth="1"/>
    <col min="5" max="5" width="2" style="1" customWidth="1"/>
  </cols>
  <sheetData>
    <row r="1" spans="2:4" ht="21.75" customHeight="1" x14ac:dyDescent="0.25">
      <c r="B1" s="51" t="s">
        <v>0</v>
      </c>
      <c r="C1" s="51"/>
      <c r="D1" s="51"/>
    </row>
    <row r="2" spans="2:4" ht="19.5" customHeight="1" x14ac:dyDescent="0.25">
      <c r="B2" s="52" t="s">
        <v>1</v>
      </c>
      <c r="C2" s="52"/>
      <c r="D2" s="52"/>
    </row>
    <row r="3" spans="2:4" ht="13.5" customHeight="1" x14ac:dyDescent="0.25">
      <c r="B3" s="53" t="s">
        <v>2</v>
      </c>
      <c r="C3" s="53"/>
      <c r="D3" s="53"/>
    </row>
    <row r="5" spans="2:4" ht="15.75" customHeight="1" x14ac:dyDescent="0.25">
      <c r="B5" s="46" t="s">
        <v>3</v>
      </c>
      <c r="C5" s="46"/>
      <c r="D5" s="46"/>
    </row>
    <row r="6" spans="2:4" ht="54.75" customHeight="1" x14ac:dyDescent="0.25">
      <c r="B6" s="54" t="s">
        <v>4</v>
      </c>
      <c r="C6" s="54"/>
      <c r="D6" s="54"/>
    </row>
    <row r="8" spans="2:4" ht="15.75" customHeight="1" x14ac:dyDescent="0.25">
      <c r="B8" s="46" t="s">
        <v>5</v>
      </c>
      <c r="C8" s="46"/>
      <c r="D8" s="46"/>
    </row>
    <row r="9" spans="2:4" ht="48" customHeight="1" x14ac:dyDescent="0.25">
      <c r="B9" s="49" t="s">
        <v>6</v>
      </c>
      <c r="C9" s="49"/>
      <c r="D9" s="49"/>
    </row>
    <row r="10" spans="2:4" ht="48" customHeight="1" x14ac:dyDescent="0.25">
      <c r="B10" s="50" t="s">
        <v>7</v>
      </c>
      <c r="C10" s="50"/>
      <c r="D10" s="50"/>
    </row>
    <row r="11" spans="2:4" ht="48" customHeight="1" x14ac:dyDescent="0.25">
      <c r="B11" s="49" t="s">
        <v>8</v>
      </c>
      <c r="C11" s="49"/>
      <c r="D11" s="49"/>
    </row>
    <row r="12" spans="2:4" ht="48" customHeight="1" x14ac:dyDescent="0.25">
      <c r="B12" s="50" t="s">
        <v>9</v>
      </c>
      <c r="C12" s="50"/>
      <c r="D12" s="50"/>
    </row>
    <row r="13" spans="2:4" ht="15.75" customHeight="1" x14ac:dyDescent="0.25">
      <c r="B13" s="46" t="s">
        <v>10</v>
      </c>
      <c r="C13" s="46"/>
      <c r="D13" s="46"/>
    </row>
    <row r="14" spans="2:4" ht="15" customHeight="1" x14ac:dyDescent="0.25">
      <c r="B14" s="2" t="s">
        <v>11</v>
      </c>
      <c r="C14" s="2" t="s">
        <v>12</v>
      </c>
    </row>
    <row r="15" spans="2:4" ht="13.5" customHeight="1" x14ac:dyDescent="0.25">
      <c r="B15" s="3" t="s">
        <v>13</v>
      </c>
      <c r="C15" s="4" t="s">
        <v>14</v>
      </c>
    </row>
    <row r="16" spans="2:4" ht="13.5" customHeight="1" x14ac:dyDescent="0.25">
      <c r="B16" s="5" t="s">
        <v>15</v>
      </c>
      <c r="C16" s="6" t="s">
        <v>16</v>
      </c>
    </row>
    <row r="17" spans="2:4" ht="13.5" customHeight="1" x14ac:dyDescent="0.25">
      <c r="B17" s="3" t="s">
        <v>17</v>
      </c>
      <c r="C17" s="4" t="s">
        <v>18</v>
      </c>
    </row>
    <row r="18" spans="2:4" ht="13.5" customHeight="1" x14ac:dyDescent="0.25">
      <c r="B18" s="5" t="s">
        <v>19</v>
      </c>
      <c r="C18" s="6" t="s">
        <v>20</v>
      </c>
    </row>
    <row r="19" spans="2:4" ht="13.5" customHeight="1" x14ac:dyDescent="0.25">
      <c r="B19" s="3" t="s">
        <v>21</v>
      </c>
      <c r="C19" s="4" t="s">
        <v>22</v>
      </c>
    </row>
    <row r="20" spans="2:4" ht="13.5" customHeight="1" x14ac:dyDescent="0.25">
      <c r="B20" s="5" t="s">
        <v>23</v>
      </c>
      <c r="C20" s="6" t="s">
        <v>24</v>
      </c>
    </row>
    <row r="21" spans="2:4" ht="21.75" customHeight="1" x14ac:dyDescent="0.25">
      <c r="B21" s="47" t="s">
        <v>25</v>
      </c>
      <c r="C21" s="47"/>
      <c r="D21" s="47"/>
    </row>
    <row r="23" spans="2:4" ht="13.5" customHeight="1" x14ac:dyDescent="0.25">
      <c r="B23" s="48" t="s">
        <v>2</v>
      </c>
      <c r="C23" s="48"/>
      <c r="D23" s="48"/>
    </row>
  </sheetData>
  <mergeCells count="13">
    <mergeCell ref="B1:D1"/>
    <mergeCell ref="B2:D2"/>
    <mergeCell ref="B3:D3"/>
    <mergeCell ref="B5:D5"/>
    <mergeCell ref="B6:D6"/>
    <mergeCell ref="B13:D13"/>
    <mergeCell ref="B21:D21"/>
    <mergeCell ref="B23:D23"/>
    <mergeCell ref="B8:D8"/>
    <mergeCell ref="B9:D9"/>
    <mergeCell ref="B10:D10"/>
    <mergeCell ref="B11:D11"/>
    <mergeCell ref="B12:D12"/>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4"/>
  <sheetViews>
    <sheetView zoomScaleNormal="100" workbookViewId="0">
      <selection activeCell="F5" sqref="F5"/>
    </sheetView>
  </sheetViews>
  <sheetFormatPr defaultColWidth="8.7109375" defaultRowHeight="15" x14ac:dyDescent="0.25"/>
  <cols>
    <col min="1" max="1" width="2" style="1" customWidth="1"/>
    <col min="2" max="2" width="41" style="1" bestFit="1" customWidth="1"/>
    <col min="3" max="6" width="13" style="1" customWidth="1"/>
    <col min="7" max="9" width="14" style="1" customWidth="1"/>
    <col min="10" max="10" width="9.42578125" style="1" customWidth="1"/>
  </cols>
  <sheetData>
    <row r="1" spans="2:9" ht="21.75" customHeight="1" x14ac:dyDescent="0.25">
      <c r="B1" s="61" t="s">
        <v>192</v>
      </c>
      <c r="C1" s="61"/>
      <c r="D1" s="61"/>
      <c r="E1" s="61"/>
      <c r="F1" s="61"/>
      <c r="G1" s="61"/>
      <c r="H1" s="61"/>
      <c r="I1" s="61"/>
    </row>
    <row r="3" spans="2:9" ht="15.75" customHeight="1" x14ac:dyDescent="0.25">
      <c r="B3" s="56" t="s">
        <v>26</v>
      </c>
      <c r="C3" s="56"/>
      <c r="D3" s="56"/>
      <c r="E3" s="56"/>
      <c r="F3" s="56"/>
    </row>
    <row r="4" spans="2:9" ht="15" customHeight="1" x14ac:dyDescent="0.25">
      <c r="B4" s="7" t="s">
        <v>27</v>
      </c>
      <c r="C4" s="8" t="s">
        <v>28</v>
      </c>
      <c r="D4" s="8" t="s">
        <v>29</v>
      </c>
      <c r="E4" s="8" t="s">
        <v>30</v>
      </c>
      <c r="F4" s="8" t="s">
        <v>31</v>
      </c>
    </row>
    <row r="5" spans="2:9" ht="13.5" customHeight="1" x14ac:dyDescent="0.25">
      <c r="B5" s="4" t="s">
        <v>32</v>
      </c>
      <c r="C5" s="9">
        <v>19381.71</v>
      </c>
      <c r="D5" s="9">
        <v>20281.57</v>
      </c>
      <c r="E5" s="9">
        <v>21732.58</v>
      </c>
      <c r="F5" s="9">
        <v>19869.349999999999</v>
      </c>
    </row>
    <row r="6" spans="2:9" ht="13.5" customHeight="1" x14ac:dyDescent="0.25">
      <c r="B6" s="4" t="s">
        <v>33</v>
      </c>
      <c r="C6" s="9">
        <v>809.26</v>
      </c>
      <c r="D6" s="9">
        <v>1003.94</v>
      </c>
      <c r="E6" s="9">
        <v>1182.55</v>
      </c>
      <c r="F6" s="9">
        <v>1018.89</v>
      </c>
    </row>
    <row r="7" spans="2:9" ht="13.5" customHeight="1" x14ac:dyDescent="0.25">
      <c r="B7" s="10" t="s">
        <v>34</v>
      </c>
      <c r="C7" s="11">
        <f>SUM(C5:C6)</f>
        <v>20190.969999999998</v>
      </c>
      <c r="D7" s="11">
        <f t="shared" ref="D7:F7" si="0">SUM(D5:D6)</f>
        <v>21285.51</v>
      </c>
      <c r="E7" s="11">
        <f t="shared" si="0"/>
        <v>22915.13</v>
      </c>
      <c r="F7" s="11">
        <f t="shared" si="0"/>
        <v>20888.239999999998</v>
      </c>
    </row>
    <row r="8" spans="2:9" ht="15.75" customHeight="1" x14ac:dyDescent="0.25">
      <c r="B8" s="62" t="s">
        <v>35</v>
      </c>
      <c r="C8" s="62"/>
      <c r="D8" s="62"/>
      <c r="E8" s="62"/>
      <c r="F8" s="62"/>
    </row>
    <row r="9" spans="2:9" ht="13.5" customHeight="1" x14ac:dyDescent="0.25">
      <c r="B9" s="4" t="s">
        <v>36</v>
      </c>
      <c r="C9" s="9">
        <v>17905.57</v>
      </c>
      <c r="D9" s="9">
        <v>18727.599999999999</v>
      </c>
      <c r="E9" s="9">
        <v>20041.240000000002</v>
      </c>
      <c r="F9" s="9">
        <v>18385.2</v>
      </c>
    </row>
    <row r="10" spans="2:9" ht="13.5" customHeight="1" x14ac:dyDescent="0.25">
      <c r="B10" s="12" t="s">
        <v>37</v>
      </c>
      <c r="C10" s="13">
        <v>203.05</v>
      </c>
      <c r="D10" s="13">
        <v>187.16</v>
      </c>
      <c r="E10" s="13">
        <v>184.18</v>
      </c>
      <c r="F10" s="13">
        <v>182.98</v>
      </c>
    </row>
    <row r="11" spans="2:9" ht="13.5" customHeight="1" x14ac:dyDescent="0.25">
      <c r="B11" s="4" t="s">
        <v>38</v>
      </c>
      <c r="C11" s="9">
        <v>563.71</v>
      </c>
      <c r="D11" s="9">
        <v>581.37</v>
      </c>
      <c r="E11" s="9">
        <v>568.49</v>
      </c>
      <c r="F11" s="9">
        <v>539.51</v>
      </c>
    </row>
    <row r="12" spans="2:9" ht="13.5" customHeight="1" x14ac:dyDescent="0.25">
      <c r="B12" s="12" t="s">
        <v>39</v>
      </c>
      <c r="C12" s="13">
        <v>20.9</v>
      </c>
      <c r="D12" s="13">
        <v>22.27</v>
      </c>
      <c r="E12" s="13">
        <v>20.82</v>
      </c>
      <c r="F12" s="13">
        <v>30.6</v>
      </c>
    </row>
    <row r="13" spans="2:9" ht="13.5" customHeight="1" x14ac:dyDescent="0.25">
      <c r="B13" s="4" t="s">
        <v>40</v>
      </c>
      <c r="C13" s="9">
        <v>91.5</v>
      </c>
      <c r="D13" s="9">
        <v>122.73</v>
      </c>
      <c r="E13" s="9">
        <v>161</v>
      </c>
      <c r="F13" s="9">
        <v>199.78</v>
      </c>
    </row>
    <row r="14" spans="2:9" ht="13.5" customHeight="1" x14ac:dyDescent="0.25">
      <c r="B14" s="10" t="s">
        <v>41</v>
      </c>
      <c r="C14" s="11">
        <f>SUM(C9:C13)</f>
        <v>18784.73</v>
      </c>
      <c r="D14" s="11">
        <f t="shared" ref="D14:F14" si="1">SUM(D9:D13)</f>
        <v>19641.129999999997</v>
      </c>
      <c r="E14" s="11">
        <f t="shared" si="1"/>
        <v>20975.730000000003</v>
      </c>
      <c r="F14" s="11">
        <f t="shared" si="1"/>
        <v>19338.069999999996</v>
      </c>
    </row>
    <row r="15" spans="2:9" ht="15.75" customHeight="1" x14ac:dyDescent="0.25">
      <c r="B15" s="62" t="s">
        <v>42</v>
      </c>
      <c r="C15" s="62"/>
      <c r="D15" s="62"/>
      <c r="E15" s="62"/>
      <c r="F15" s="62"/>
    </row>
    <row r="16" spans="2:9" ht="13.5" customHeight="1" x14ac:dyDescent="0.25">
      <c r="B16" s="14" t="s">
        <v>43</v>
      </c>
      <c r="C16" s="15">
        <f>C7-C14</f>
        <v>1406.239999999998</v>
      </c>
      <c r="D16" s="15">
        <f t="shared" ref="D16:F16" si="2">D7-D14</f>
        <v>1644.380000000001</v>
      </c>
      <c r="E16" s="15">
        <f t="shared" si="2"/>
        <v>1939.3999999999978</v>
      </c>
      <c r="F16" s="15">
        <f t="shared" si="2"/>
        <v>1550.1700000000019</v>
      </c>
    </row>
    <row r="17" spans="2:9" ht="13.5" customHeight="1" x14ac:dyDescent="0.25">
      <c r="B17" s="4" t="s">
        <v>44</v>
      </c>
      <c r="C17" s="9">
        <v>318.89</v>
      </c>
      <c r="D17" s="9">
        <v>376.42</v>
      </c>
      <c r="E17" s="9">
        <v>476.45</v>
      </c>
      <c r="F17" s="9">
        <v>361.55</v>
      </c>
    </row>
    <row r="18" spans="2:9" ht="13.5" customHeight="1" x14ac:dyDescent="0.25">
      <c r="B18" s="14" t="s">
        <v>45</v>
      </c>
      <c r="C18" s="15">
        <f>C16-C17</f>
        <v>1087.3499999999981</v>
      </c>
      <c r="D18" s="15">
        <f t="shared" ref="D18:F18" si="3">D16-D17</f>
        <v>1267.9600000000009</v>
      </c>
      <c r="E18" s="15">
        <f t="shared" si="3"/>
        <v>1462.9499999999978</v>
      </c>
      <c r="F18" s="15">
        <f t="shared" si="3"/>
        <v>1188.6200000000019</v>
      </c>
    </row>
    <row r="20" spans="2:9" ht="15.75" customHeight="1" x14ac:dyDescent="0.25">
      <c r="B20" s="56" t="s">
        <v>46</v>
      </c>
      <c r="C20" s="56"/>
      <c r="D20" s="56"/>
      <c r="E20" s="56"/>
      <c r="F20" s="56"/>
      <c r="G20" s="56"/>
      <c r="H20" s="56"/>
      <c r="I20" s="56"/>
    </row>
    <row r="21" spans="2:9" ht="15" customHeight="1" x14ac:dyDescent="0.25">
      <c r="B21" s="7" t="s">
        <v>47</v>
      </c>
      <c r="C21" s="8" t="s">
        <v>29</v>
      </c>
      <c r="D21" s="8" t="s">
        <v>30</v>
      </c>
      <c r="E21" s="8" t="s">
        <v>31</v>
      </c>
    </row>
    <row r="22" spans="2:9" ht="13.5" customHeight="1" x14ac:dyDescent="0.25">
      <c r="B22" s="4" t="s">
        <v>48</v>
      </c>
      <c r="C22" s="9">
        <f>D5</f>
        <v>20281.57</v>
      </c>
      <c r="D22" s="9">
        <f>E5</f>
        <v>21732.58</v>
      </c>
      <c r="E22" s="9">
        <f>F5</f>
        <v>19869.349999999999</v>
      </c>
    </row>
    <row r="23" spans="2:9" ht="13.5" customHeight="1" x14ac:dyDescent="0.25">
      <c r="B23" s="12" t="s">
        <v>49</v>
      </c>
      <c r="C23" s="13">
        <f>C5</f>
        <v>19381.71</v>
      </c>
      <c r="D23" s="13">
        <f>D5</f>
        <v>20281.57</v>
      </c>
      <c r="E23" s="13">
        <f>E5</f>
        <v>21732.58</v>
      </c>
    </row>
    <row r="24" spans="2:9" ht="13.5" customHeight="1" x14ac:dyDescent="0.25">
      <c r="B24" s="10" t="s">
        <v>50</v>
      </c>
      <c r="C24" s="16">
        <f>C22-C23</f>
        <v>899.86000000000058</v>
      </c>
      <c r="D24" s="16">
        <f t="shared" ref="D24:E24" si="4">D22-D23</f>
        <v>1451.010000000002</v>
      </c>
      <c r="E24" s="16">
        <f t="shared" si="4"/>
        <v>-1863.2300000000032</v>
      </c>
    </row>
    <row r="25" spans="2:9" ht="13.5" customHeight="1" x14ac:dyDescent="0.25">
      <c r="B25" s="4" t="s">
        <v>51</v>
      </c>
      <c r="C25" s="17">
        <f>C24/C23</f>
        <v>4.6428307925358528E-2</v>
      </c>
      <c r="D25" s="17">
        <f>D24/D23</f>
        <v>7.154327796122302E-2</v>
      </c>
      <c r="E25" s="17">
        <f>E24/E23</f>
        <v>-8.5734413493473993E-2</v>
      </c>
    </row>
    <row r="26" spans="2:9" ht="15.75" thickBot="1" x14ac:dyDescent="0.3"/>
    <row r="27" spans="2:9" ht="15.75" customHeight="1" thickBot="1" x14ac:dyDescent="0.3">
      <c r="B27" s="57" t="s">
        <v>52</v>
      </c>
      <c r="C27" s="58"/>
      <c r="D27" s="58"/>
      <c r="E27" s="58"/>
      <c r="F27" s="59"/>
    </row>
    <row r="28" spans="2:9" ht="30" customHeight="1" x14ac:dyDescent="0.25">
      <c r="B28" s="60" t="s">
        <v>53</v>
      </c>
      <c r="C28" s="60"/>
      <c r="D28" s="60"/>
      <c r="E28" s="60"/>
      <c r="F28" s="60"/>
    </row>
    <row r="29" spans="2:9" ht="30" customHeight="1" x14ac:dyDescent="0.25">
      <c r="B29" s="49" t="s">
        <v>54</v>
      </c>
      <c r="C29" s="49"/>
      <c r="D29" s="49"/>
      <c r="E29" s="49"/>
      <c r="F29" s="49"/>
    </row>
    <row r="30" spans="2:9" ht="30" customHeight="1" x14ac:dyDescent="0.25">
      <c r="B30" s="50" t="s">
        <v>55</v>
      </c>
      <c r="C30" s="50"/>
      <c r="D30" s="50"/>
      <c r="E30" s="50"/>
      <c r="F30" s="50"/>
    </row>
    <row r="31" spans="2:9" ht="30" customHeight="1" x14ac:dyDescent="0.25">
      <c r="B31" s="49" t="s">
        <v>56</v>
      </c>
      <c r="C31" s="49"/>
      <c r="D31" s="49"/>
      <c r="E31" s="49"/>
      <c r="F31" s="49"/>
    </row>
    <row r="32" spans="2:9" ht="15.75" customHeight="1" x14ac:dyDescent="0.25">
      <c r="B32" s="56" t="s">
        <v>57</v>
      </c>
      <c r="C32" s="56"/>
      <c r="D32" s="56"/>
      <c r="E32" s="56"/>
      <c r="F32" s="56"/>
      <c r="G32" s="56"/>
      <c r="H32" s="56"/>
      <c r="I32" s="56"/>
    </row>
    <row r="33" spans="2:9" ht="15" customHeight="1" x14ac:dyDescent="0.25">
      <c r="B33" s="7" t="s">
        <v>47</v>
      </c>
      <c r="C33" s="8" t="s">
        <v>29</v>
      </c>
      <c r="D33" s="8" t="s">
        <v>30</v>
      </c>
      <c r="E33" s="8" t="s">
        <v>31</v>
      </c>
    </row>
    <row r="34" spans="2:9" ht="13.5" customHeight="1" x14ac:dyDescent="0.25">
      <c r="B34" s="4" t="s">
        <v>58</v>
      </c>
      <c r="C34" s="9">
        <f>D16</f>
        <v>1644.380000000001</v>
      </c>
      <c r="D34" s="9">
        <f>E16</f>
        <v>1939.3999999999978</v>
      </c>
      <c r="E34" s="9">
        <f>F16</f>
        <v>1550.1700000000019</v>
      </c>
    </row>
    <row r="35" spans="2:9" ht="13.5" customHeight="1" x14ac:dyDescent="0.25">
      <c r="B35" s="12" t="s">
        <v>59</v>
      </c>
      <c r="C35" s="13">
        <f>D18</f>
        <v>1267.9600000000009</v>
      </c>
      <c r="D35" s="13">
        <f>E18</f>
        <v>1462.9499999999978</v>
      </c>
      <c r="E35" s="13">
        <f>F18</f>
        <v>1188.6200000000019</v>
      </c>
    </row>
    <row r="36" spans="2:9" ht="13.5" customHeight="1" x14ac:dyDescent="0.25">
      <c r="B36" s="4" t="s">
        <v>60</v>
      </c>
      <c r="C36" s="17">
        <f>(D16-C16)/C16</f>
        <v>0.16934520423256585</v>
      </c>
      <c r="D36" s="17">
        <f t="shared" ref="D36" si="5">(E16-D16)/D16</f>
        <v>0.17941108502900582</v>
      </c>
      <c r="E36" s="17">
        <f>(F16-E16)/E16</f>
        <v>-0.20069609157471197</v>
      </c>
    </row>
    <row r="37" spans="2:9" ht="13.5" customHeight="1" x14ac:dyDescent="0.25">
      <c r="B37" s="12" t="s">
        <v>61</v>
      </c>
      <c r="C37" s="18">
        <f>(D18-C18)/C18</f>
        <v>0.16610107141215172</v>
      </c>
      <c r="D37" s="18">
        <f t="shared" ref="D37:E37" si="6">(E18-D18)/D18</f>
        <v>0.15378245370516158</v>
      </c>
      <c r="E37" s="18">
        <f t="shared" si="6"/>
        <v>-0.18751837041593783</v>
      </c>
    </row>
    <row r="38" spans="2:9" ht="13.5" customHeight="1" x14ac:dyDescent="0.25">
      <c r="B38" s="10" t="s">
        <v>62</v>
      </c>
      <c r="C38" s="19">
        <f>D18/D5</f>
        <v>6.2517842553609065E-2</v>
      </c>
      <c r="D38" s="19">
        <f>E18/E5</f>
        <v>6.7315983652193975E-2</v>
      </c>
      <c r="E38" s="19">
        <f>F18/F5</f>
        <v>5.9821785815842091E-2</v>
      </c>
    </row>
    <row r="39" spans="2:9" ht="13.5" customHeight="1" x14ac:dyDescent="0.25">
      <c r="B39" s="4" t="s">
        <v>63</v>
      </c>
      <c r="C39" s="17">
        <f>D16/D5</f>
        <v>8.107754971631885E-2</v>
      </c>
      <c r="D39" s="17">
        <f>E16/E5</f>
        <v>8.9239289582736969E-2</v>
      </c>
      <c r="E39" s="17">
        <f>F16/F5</f>
        <v>7.8018153588315778E-2</v>
      </c>
    </row>
    <row r="40" spans="2:9" ht="15.75" thickBot="1" x14ac:dyDescent="0.3"/>
    <row r="41" spans="2:9" ht="15.75" customHeight="1" thickBot="1" x14ac:dyDescent="0.3">
      <c r="B41" s="57" t="s">
        <v>64</v>
      </c>
      <c r="C41" s="58"/>
      <c r="D41" s="58"/>
      <c r="E41" s="58"/>
      <c r="F41" s="59"/>
    </row>
    <row r="42" spans="2:9" ht="30" customHeight="1" x14ac:dyDescent="0.25">
      <c r="B42" s="60" t="s">
        <v>65</v>
      </c>
      <c r="C42" s="60"/>
      <c r="D42" s="60"/>
      <c r="E42" s="60"/>
      <c r="F42" s="60"/>
    </row>
    <row r="43" spans="2:9" ht="30" customHeight="1" x14ac:dyDescent="0.25">
      <c r="B43" s="49" t="s">
        <v>66</v>
      </c>
      <c r="C43" s="49"/>
      <c r="D43" s="49"/>
      <c r="E43" s="49"/>
      <c r="F43" s="49"/>
    </row>
    <row r="44" spans="2:9" ht="30" customHeight="1" x14ac:dyDescent="0.25">
      <c r="B44" s="50" t="s">
        <v>67</v>
      </c>
      <c r="C44" s="50"/>
      <c r="D44" s="50"/>
      <c r="E44" s="50"/>
      <c r="F44" s="50"/>
    </row>
    <row r="45" spans="2:9" ht="30" customHeight="1" x14ac:dyDescent="0.25">
      <c r="B45" s="49" t="s">
        <v>68</v>
      </c>
      <c r="C45" s="49"/>
      <c r="D45" s="49"/>
      <c r="E45" s="49"/>
      <c r="F45" s="49"/>
    </row>
    <row r="46" spans="2:9" ht="15.75" customHeight="1" x14ac:dyDescent="0.25">
      <c r="B46" s="56" t="s">
        <v>69</v>
      </c>
      <c r="C46" s="56"/>
      <c r="D46" s="56"/>
      <c r="E46" s="56"/>
      <c r="F46" s="56"/>
      <c r="G46" s="56"/>
      <c r="H46" s="56"/>
      <c r="I46" s="56"/>
    </row>
    <row r="47" spans="2:9" ht="15" customHeight="1" x14ac:dyDescent="0.25">
      <c r="B47" s="7" t="s">
        <v>70</v>
      </c>
      <c r="C47" s="8" t="s">
        <v>28</v>
      </c>
      <c r="D47" s="8" t="s">
        <v>29</v>
      </c>
      <c r="E47" s="8" t="s">
        <v>30</v>
      </c>
      <c r="F47" s="8" t="s">
        <v>31</v>
      </c>
    </row>
    <row r="48" spans="2:9" ht="13.5" customHeight="1" x14ac:dyDescent="0.25">
      <c r="B48" s="12" t="s">
        <v>36</v>
      </c>
      <c r="C48" s="18">
        <f>C9/C5</f>
        <v>0.92383850547758684</v>
      </c>
      <c r="D48" s="18">
        <f t="shared" ref="D48:F48" si="7">D9/D5</f>
        <v>0.92338019196738708</v>
      </c>
      <c r="E48" s="18">
        <f>E9/E5</f>
        <v>0.92217490974380401</v>
      </c>
      <c r="F48" s="18">
        <f t="shared" si="7"/>
        <v>0.9253045519858476</v>
      </c>
    </row>
    <row r="49" spans="2:9" ht="13.5" customHeight="1" x14ac:dyDescent="0.25">
      <c r="B49" s="4" t="s">
        <v>37</v>
      </c>
      <c r="C49" s="17">
        <f>C10/C5</f>
        <v>1.0476371795883852E-2</v>
      </c>
      <c r="D49" s="17">
        <f t="shared" ref="D49:F49" si="8">D10/D5</f>
        <v>9.2280824413494607E-3</v>
      </c>
      <c r="E49" s="17">
        <f t="shared" si="8"/>
        <v>8.4748336368714611E-3</v>
      </c>
      <c r="F49" s="17">
        <f t="shared" si="8"/>
        <v>9.2091588300573495E-3</v>
      </c>
    </row>
    <row r="50" spans="2:9" ht="13.5" customHeight="1" x14ac:dyDescent="0.25">
      <c r="B50" s="12" t="s">
        <v>38</v>
      </c>
      <c r="C50" s="18">
        <f>C11/C5</f>
        <v>2.9084637010872626E-2</v>
      </c>
      <c r="D50" s="18">
        <f t="shared" ref="D50:F50" si="9">D11/D5</f>
        <v>2.8664940633294167E-2</v>
      </c>
      <c r="E50" s="18">
        <f t="shared" si="9"/>
        <v>2.6158422055733831E-2</v>
      </c>
      <c r="F50" s="18">
        <f t="shared" si="9"/>
        <v>2.7152876163538314E-2</v>
      </c>
    </row>
    <row r="51" spans="2:9" ht="13.5" customHeight="1" x14ac:dyDescent="0.25">
      <c r="B51" s="4" t="s">
        <v>39</v>
      </c>
      <c r="C51" s="17">
        <f>C12/C5</f>
        <v>1.0783362252350282E-3</v>
      </c>
      <c r="D51" s="17">
        <f t="shared" ref="D51:F51" si="10">D12/D5</f>
        <v>1.0980412265914326E-3</v>
      </c>
      <c r="E51" s="17">
        <f t="shared" si="10"/>
        <v>9.5800866717159205E-4</v>
      </c>
      <c r="F51" s="17">
        <f t="shared" si="10"/>
        <v>1.5400604448560222E-3</v>
      </c>
    </row>
    <row r="52" spans="2:9" ht="13.5" customHeight="1" x14ac:dyDescent="0.25">
      <c r="B52" s="12" t="s">
        <v>40</v>
      </c>
      <c r="C52" s="18">
        <f>C13/C5</f>
        <v>4.7209456750720137E-3</v>
      </c>
      <c r="D52" s="18">
        <f t="shared" ref="D52:F52" si="11">D13/D5</f>
        <v>6.0513066789208139E-3</v>
      </c>
      <c r="E52" s="18">
        <f t="shared" si="11"/>
        <v>7.4082322485411302E-3</v>
      </c>
      <c r="F52" s="18">
        <f t="shared" si="11"/>
        <v>1.0054682211546932E-2</v>
      </c>
    </row>
    <row r="53" spans="2:9" ht="13.5" customHeight="1" x14ac:dyDescent="0.25">
      <c r="B53" s="10" t="s">
        <v>41</v>
      </c>
      <c r="C53" s="19">
        <f>C14/C5</f>
        <v>0.96919879618465044</v>
      </c>
      <c r="D53" s="19">
        <f t="shared" ref="D53:F53" si="12">D14/D5</f>
        <v>0.96842256294754292</v>
      </c>
      <c r="E53" s="19">
        <f t="shared" si="12"/>
        <v>0.96517440635212204</v>
      </c>
      <c r="F53" s="19">
        <f t="shared" si="12"/>
        <v>0.973261329635846</v>
      </c>
    </row>
    <row r="54" spans="2:9" ht="15.75" thickBot="1" x14ac:dyDescent="0.3"/>
    <row r="55" spans="2:9" ht="15.75" customHeight="1" thickBot="1" x14ac:dyDescent="0.3">
      <c r="B55" s="57" t="s">
        <v>71</v>
      </c>
      <c r="C55" s="58"/>
      <c r="D55" s="58"/>
      <c r="E55" s="58"/>
      <c r="F55" s="59"/>
    </row>
    <row r="56" spans="2:9" ht="30" customHeight="1" x14ac:dyDescent="0.25">
      <c r="B56" s="60" t="s">
        <v>72</v>
      </c>
      <c r="C56" s="60"/>
      <c r="D56" s="60"/>
      <c r="E56" s="60"/>
      <c r="F56" s="60"/>
    </row>
    <row r="57" spans="2:9" ht="30" customHeight="1" x14ac:dyDescent="0.25">
      <c r="B57" s="49" t="s">
        <v>73</v>
      </c>
      <c r="C57" s="49"/>
      <c r="D57" s="49"/>
      <c r="E57" s="49"/>
      <c r="F57" s="49"/>
    </row>
    <row r="58" spans="2:9" ht="30" customHeight="1" x14ac:dyDescent="0.25">
      <c r="B58" s="50" t="s">
        <v>74</v>
      </c>
      <c r="C58" s="50"/>
      <c r="D58" s="50"/>
      <c r="E58" s="50"/>
      <c r="F58" s="50"/>
    </row>
    <row r="59" spans="2:9" ht="30" customHeight="1" x14ac:dyDescent="0.25">
      <c r="B59" s="49" t="s">
        <v>75</v>
      </c>
      <c r="C59" s="49"/>
      <c r="D59" s="49"/>
      <c r="E59" s="49"/>
      <c r="F59" s="49"/>
    </row>
    <row r="60" spans="2:9" ht="15.75" customHeight="1" x14ac:dyDescent="0.25">
      <c r="B60" s="56" t="s">
        <v>195</v>
      </c>
      <c r="C60" s="56"/>
      <c r="D60" s="56"/>
      <c r="E60" s="56"/>
      <c r="F60" s="56"/>
      <c r="G60" s="56"/>
      <c r="H60" s="56"/>
      <c r="I60" s="56"/>
    </row>
    <row r="61" spans="2:9" ht="15" customHeight="1" x14ac:dyDescent="0.25">
      <c r="B61" s="7" t="s">
        <v>76</v>
      </c>
      <c r="C61" s="8" t="s">
        <v>77</v>
      </c>
      <c r="D61" s="8" t="s">
        <v>78</v>
      </c>
      <c r="E61" s="8" t="s">
        <v>79</v>
      </c>
    </row>
    <row r="62" spans="2:9" ht="13.5" customHeight="1" x14ac:dyDescent="0.25">
      <c r="B62" s="20" t="s">
        <v>80</v>
      </c>
      <c r="C62" s="21">
        <v>0.08</v>
      </c>
      <c r="D62" s="21">
        <v>0.1</v>
      </c>
      <c r="E62" s="21">
        <v>0.12</v>
      </c>
    </row>
    <row r="63" spans="2:9" ht="13.5" customHeight="1" x14ac:dyDescent="0.25">
      <c r="B63" s="20" t="s">
        <v>81</v>
      </c>
      <c r="C63" s="21">
        <v>0.06</v>
      </c>
      <c r="D63" s="21">
        <v>6.2E-2</v>
      </c>
      <c r="E63" s="21">
        <v>6.5000000000000002E-2</v>
      </c>
    </row>
    <row r="64" spans="2:9" ht="13.5" customHeight="1" x14ac:dyDescent="0.25">
      <c r="B64" s="20" t="s">
        <v>82</v>
      </c>
      <c r="C64" s="21">
        <v>0.05</v>
      </c>
      <c r="D64" s="21">
        <v>0.05</v>
      </c>
      <c r="E64" s="21">
        <v>0.05</v>
      </c>
    </row>
    <row r="65" spans="2:9" ht="15.75" customHeight="1" x14ac:dyDescent="0.25">
      <c r="B65" s="56" t="s">
        <v>196</v>
      </c>
      <c r="C65" s="56"/>
      <c r="D65" s="56"/>
      <c r="E65" s="56"/>
      <c r="F65" s="56"/>
      <c r="G65" s="56"/>
      <c r="H65" s="56"/>
      <c r="I65" s="56"/>
    </row>
    <row r="66" spans="2:9" ht="29.25" customHeight="1" x14ac:dyDescent="0.25">
      <c r="B66" s="7" t="s">
        <v>83</v>
      </c>
      <c r="C66" s="22" t="s">
        <v>84</v>
      </c>
      <c r="D66" s="22" t="s">
        <v>85</v>
      </c>
      <c r="E66" s="22" t="s">
        <v>86</v>
      </c>
    </row>
    <row r="67" spans="2:9" ht="13.5" customHeight="1" x14ac:dyDescent="0.25">
      <c r="B67" s="23">
        <f>F5</f>
        <v>19869.349999999999</v>
      </c>
      <c r="C67" s="23">
        <f>B67*(1+C62)</f>
        <v>21458.898000000001</v>
      </c>
      <c r="D67" s="23">
        <f>C67*(1+D62)</f>
        <v>23604.787800000002</v>
      </c>
      <c r="E67" s="23">
        <f>D67*(1+E62)</f>
        <v>26437.362336000006</v>
      </c>
    </row>
    <row r="68" spans="2:9" ht="13.5" customHeight="1" x14ac:dyDescent="0.25">
      <c r="B68" s="24">
        <f>F6</f>
        <v>1018.89</v>
      </c>
      <c r="C68" s="24">
        <f>B68*(1+C64)</f>
        <v>1069.8344999999999</v>
      </c>
      <c r="D68" s="24">
        <f>C68*(1+D64)</f>
        <v>1123.326225</v>
      </c>
      <c r="E68" s="24">
        <f>D68*(1+E64)</f>
        <v>1179.4925362500001</v>
      </c>
    </row>
    <row r="69" spans="2:9" ht="13.5" customHeight="1" x14ac:dyDescent="0.25">
      <c r="B69" s="16">
        <f>F7</f>
        <v>20888.239999999998</v>
      </c>
      <c r="C69" s="16">
        <f>C67+C68</f>
        <v>22528.732500000002</v>
      </c>
      <c r="D69" s="16">
        <f>D67+D68</f>
        <v>24728.114025000003</v>
      </c>
      <c r="E69" s="16">
        <f>E67+E68</f>
        <v>27616.854872250005</v>
      </c>
    </row>
    <row r="70" spans="2:9" ht="13.5" customHeight="1" x14ac:dyDescent="0.25">
      <c r="B70" s="25">
        <f>F18</f>
        <v>1188.6200000000019</v>
      </c>
      <c r="C70" s="25">
        <f>C67*C63</f>
        <v>1287.53388</v>
      </c>
      <c r="D70" s="25">
        <f>D67*D63</f>
        <v>1463.4968436000001</v>
      </c>
      <c r="E70" s="25">
        <f>E67*E63</f>
        <v>1718.4285518400004</v>
      </c>
    </row>
    <row r="71" spans="2:9" ht="13.5" customHeight="1" x14ac:dyDescent="0.25">
      <c r="B71" s="17">
        <f>E38</f>
        <v>5.9821785815842091E-2</v>
      </c>
      <c r="C71" s="17">
        <f>C63</f>
        <v>0.06</v>
      </c>
      <c r="D71" s="17">
        <f>D63</f>
        <v>6.2E-2</v>
      </c>
      <c r="E71" s="17">
        <f>E63</f>
        <v>6.5000000000000002E-2</v>
      </c>
    </row>
    <row r="72" spans="2:9" ht="15.75" customHeight="1" x14ac:dyDescent="0.25">
      <c r="B72" s="56" t="s">
        <v>193</v>
      </c>
      <c r="C72" s="56"/>
      <c r="D72" s="56"/>
      <c r="E72" s="56"/>
      <c r="F72" s="56"/>
      <c r="G72" s="56"/>
      <c r="H72" s="56"/>
      <c r="I72" s="56"/>
    </row>
    <row r="73" spans="2:9" ht="39.75" customHeight="1" x14ac:dyDescent="0.25">
      <c r="B73" s="49" t="s">
        <v>87</v>
      </c>
      <c r="C73" s="49"/>
      <c r="D73" s="49"/>
      <c r="E73" s="49"/>
      <c r="F73" s="49"/>
      <c r="G73" s="49"/>
      <c r="H73" s="49"/>
      <c r="I73" s="49"/>
    </row>
    <row r="74" spans="2:9" ht="39.75" customHeight="1" x14ac:dyDescent="0.25">
      <c r="B74" s="50" t="s">
        <v>88</v>
      </c>
      <c r="C74" s="50"/>
      <c r="D74" s="50"/>
      <c r="E74" s="50"/>
      <c r="F74" s="50"/>
      <c r="G74" s="50"/>
      <c r="H74" s="50"/>
      <c r="I74" s="50"/>
    </row>
    <row r="75" spans="2:9" ht="39.75" customHeight="1" x14ac:dyDescent="0.25">
      <c r="B75" s="49" t="s">
        <v>89</v>
      </c>
      <c r="C75" s="49"/>
      <c r="D75" s="49"/>
      <c r="E75" s="49"/>
      <c r="F75" s="49"/>
      <c r="G75" s="49"/>
      <c r="H75" s="49"/>
      <c r="I75" s="49"/>
    </row>
    <row r="76" spans="2:9" ht="39.75" customHeight="1" x14ac:dyDescent="0.25">
      <c r="B76" s="50" t="s">
        <v>90</v>
      </c>
      <c r="C76" s="50"/>
      <c r="D76" s="50"/>
      <c r="E76" s="50"/>
      <c r="F76" s="50"/>
      <c r="G76" s="50"/>
      <c r="H76" s="50"/>
      <c r="I76" s="50"/>
    </row>
    <row r="77" spans="2:9" ht="15.75" customHeight="1" x14ac:dyDescent="0.25">
      <c r="B77" s="56" t="s">
        <v>194</v>
      </c>
      <c r="C77" s="56"/>
      <c r="D77" s="56"/>
      <c r="E77" s="56"/>
      <c r="F77" s="56"/>
      <c r="G77" s="56"/>
      <c r="H77" s="56"/>
      <c r="I77" s="56"/>
    </row>
    <row r="78" spans="2:9" ht="27.75" customHeight="1" x14ac:dyDescent="0.25">
      <c r="B78" s="55" t="s">
        <v>91</v>
      </c>
      <c r="C78" s="55"/>
      <c r="D78" s="55"/>
      <c r="E78" s="55"/>
      <c r="F78" s="55"/>
      <c r="G78" s="55"/>
      <c r="H78" s="55"/>
      <c r="I78" s="55"/>
    </row>
    <row r="79" spans="2:9" ht="27.75" customHeight="1" x14ac:dyDescent="0.25">
      <c r="B79" s="49" t="s">
        <v>92</v>
      </c>
      <c r="C79" s="49"/>
      <c r="D79" s="49"/>
      <c r="E79" s="49"/>
      <c r="F79" s="49"/>
      <c r="G79" s="49"/>
      <c r="H79" s="49"/>
      <c r="I79" s="49"/>
    </row>
    <row r="80" spans="2:9" ht="27.75" customHeight="1" x14ac:dyDescent="0.25">
      <c r="B80" s="55" t="s">
        <v>93</v>
      </c>
      <c r="C80" s="55"/>
      <c r="D80" s="55"/>
      <c r="E80" s="55"/>
      <c r="F80" s="55"/>
      <c r="G80" s="55"/>
      <c r="H80" s="55"/>
      <c r="I80" s="55"/>
    </row>
    <row r="81" spans="2:9" ht="27.75" customHeight="1" x14ac:dyDescent="0.25">
      <c r="B81" s="49" t="s">
        <v>94</v>
      </c>
      <c r="C81" s="49"/>
      <c r="D81" s="49"/>
      <c r="E81" s="49"/>
      <c r="F81" s="49"/>
      <c r="G81" s="49"/>
      <c r="H81" s="49"/>
      <c r="I81" s="49"/>
    </row>
    <row r="82" spans="2:9" ht="27.75" customHeight="1" x14ac:dyDescent="0.25">
      <c r="B82" s="55" t="s">
        <v>95</v>
      </c>
      <c r="C82" s="55"/>
      <c r="D82" s="55"/>
      <c r="E82" s="55"/>
      <c r="F82" s="55"/>
      <c r="G82" s="55"/>
      <c r="H82" s="55"/>
      <c r="I82" s="55"/>
    </row>
    <row r="84" spans="2:9" ht="13.5" customHeight="1" x14ac:dyDescent="0.25">
      <c r="B84" s="48" t="s">
        <v>2</v>
      </c>
      <c r="C84" s="48"/>
      <c r="D84" s="48"/>
      <c r="E84" s="48"/>
      <c r="F84" s="48"/>
      <c r="G84" s="48"/>
      <c r="H84" s="48"/>
      <c r="I84" s="48"/>
    </row>
  </sheetData>
  <mergeCells count="36">
    <mergeCell ref="B1:I1"/>
    <mergeCell ref="B3:F3"/>
    <mergeCell ref="B8:F8"/>
    <mergeCell ref="B15:F15"/>
    <mergeCell ref="B20:I20"/>
    <mergeCell ref="B27:F27"/>
    <mergeCell ref="B28:F28"/>
    <mergeCell ref="B29:F29"/>
    <mergeCell ref="B30:F30"/>
    <mergeCell ref="B31:F31"/>
    <mergeCell ref="B32:I32"/>
    <mergeCell ref="B41:F41"/>
    <mergeCell ref="B42:F42"/>
    <mergeCell ref="B43:F43"/>
    <mergeCell ref="B44:F44"/>
    <mergeCell ref="B45:F45"/>
    <mergeCell ref="B46:I46"/>
    <mergeCell ref="B55:F55"/>
    <mergeCell ref="B56:F56"/>
    <mergeCell ref="B57:F57"/>
    <mergeCell ref="B58:F58"/>
    <mergeCell ref="B59:F59"/>
    <mergeCell ref="B60:I60"/>
    <mergeCell ref="B65:I65"/>
    <mergeCell ref="B72:I72"/>
    <mergeCell ref="B73:I73"/>
    <mergeCell ref="B74:I74"/>
    <mergeCell ref="B75:I75"/>
    <mergeCell ref="B76:I76"/>
    <mergeCell ref="B77:I77"/>
    <mergeCell ref="B84:I84"/>
    <mergeCell ref="B78:I78"/>
    <mergeCell ref="B79:I79"/>
    <mergeCell ref="B80:I80"/>
    <mergeCell ref="B81:I81"/>
    <mergeCell ref="B82:I82"/>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tabSelected="1" topLeftCell="A4" zoomScale="115" zoomScaleNormal="115" workbookViewId="0">
      <selection activeCell="H27" sqref="H27"/>
    </sheetView>
  </sheetViews>
  <sheetFormatPr defaultColWidth="8.7109375" defaultRowHeight="15" x14ac:dyDescent="0.25"/>
  <cols>
    <col min="1" max="1" width="2" style="1" customWidth="1"/>
    <col min="2" max="2" width="51.140625" style="1" bestFit="1" customWidth="1"/>
    <col min="3" max="6" width="13" style="1" customWidth="1"/>
    <col min="7" max="9" width="14" style="1" customWidth="1"/>
    <col min="10" max="10" width="2" style="1" customWidth="1"/>
  </cols>
  <sheetData>
    <row r="1" spans="2:9" ht="21.75" customHeight="1" x14ac:dyDescent="0.25">
      <c r="B1" s="61" t="s">
        <v>197</v>
      </c>
      <c r="C1" s="61"/>
      <c r="D1" s="61"/>
      <c r="E1" s="61"/>
      <c r="F1" s="61"/>
      <c r="G1" s="61"/>
      <c r="H1" s="61"/>
      <c r="I1" s="61"/>
    </row>
    <row r="3" spans="2:9" ht="15.75" customHeight="1" x14ac:dyDescent="0.25">
      <c r="B3" s="56" t="s">
        <v>205</v>
      </c>
      <c r="C3" s="56"/>
      <c r="D3" s="56"/>
      <c r="E3" s="56"/>
      <c r="F3" s="56"/>
    </row>
    <row r="4" spans="2:9" ht="15" customHeight="1" x14ac:dyDescent="0.25">
      <c r="B4" s="7" t="s">
        <v>27</v>
      </c>
      <c r="C4" s="8" t="s">
        <v>28</v>
      </c>
      <c r="D4" s="8" t="s">
        <v>29</v>
      </c>
      <c r="E4" s="8" t="s">
        <v>30</v>
      </c>
      <c r="F4" s="8" t="s">
        <v>31</v>
      </c>
    </row>
    <row r="5" spans="2:9" ht="13.5" customHeight="1" x14ac:dyDescent="0.25">
      <c r="B5" s="10" t="s">
        <v>96</v>
      </c>
      <c r="C5" s="11">
        <v>19379.09</v>
      </c>
      <c r="D5" s="11">
        <v>17581.45</v>
      </c>
      <c r="E5" s="11">
        <v>18733.53</v>
      </c>
      <c r="F5" s="11">
        <v>19484.52</v>
      </c>
    </row>
    <row r="6" spans="2:9" ht="13.5" customHeight="1" x14ac:dyDescent="0.25">
      <c r="B6" s="4" t="s">
        <v>97</v>
      </c>
      <c r="C6" s="9">
        <v>4569.93</v>
      </c>
      <c r="D6" s="9">
        <v>807.53</v>
      </c>
      <c r="E6" s="9">
        <v>1027.49</v>
      </c>
      <c r="F6" s="9">
        <v>3044.8</v>
      </c>
    </row>
    <row r="7" spans="2:9" ht="13.5" customHeight="1" x14ac:dyDescent="0.25">
      <c r="B7" s="12" t="s">
        <v>98</v>
      </c>
      <c r="C7" s="13">
        <v>938.17</v>
      </c>
      <c r="D7" s="13">
        <v>969.3</v>
      </c>
      <c r="E7" s="13">
        <v>1106.48</v>
      </c>
      <c r="F7" s="13">
        <v>1489.51</v>
      </c>
    </row>
    <row r="8" spans="2:9" ht="13.5" customHeight="1" x14ac:dyDescent="0.25">
      <c r="B8" s="14" t="s">
        <v>99</v>
      </c>
      <c r="C8" s="15">
        <v>5631.44</v>
      </c>
      <c r="D8" s="15">
        <v>6479.15</v>
      </c>
      <c r="E8" s="15">
        <v>7867.28</v>
      </c>
      <c r="F8" s="15">
        <v>8623.7199999999993</v>
      </c>
    </row>
    <row r="9" spans="2:9" ht="13.5" customHeight="1" x14ac:dyDescent="0.25">
      <c r="B9" s="4" t="s">
        <v>100</v>
      </c>
      <c r="C9" s="9">
        <v>6315.42</v>
      </c>
      <c r="D9" s="9">
        <v>6030.58</v>
      </c>
      <c r="E9" s="9">
        <v>5515.77</v>
      </c>
      <c r="F9" s="9">
        <v>4889.51</v>
      </c>
    </row>
    <row r="10" spans="2:9" ht="13.5" customHeight="1" x14ac:dyDescent="0.25">
      <c r="B10" s="12" t="s">
        <v>101</v>
      </c>
      <c r="C10" s="13">
        <v>230.5</v>
      </c>
      <c r="D10" s="13">
        <v>626.29</v>
      </c>
      <c r="E10" s="13">
        <v>252.4</v>
      </c>
      <c r="F10" s="13">
        <v>344.87</v>
      </c>
    </row>
    <row r="12" spans="2:9" ht="15.75" customHeight="1" x14ac:dyDescent="0.25">
      <c r="B12" s="56" t="s">
        <v>102</v>
      </c>
      <c r="C12" s="56"/>
      <c r="D12" s="56"/>
      <c r="E12" s="56"/>
      <c r="F12" s="56"/>
      <c r="G12" s="56"/>
      <c r="H12" s="56"/>
      <c r="I12" s="56"/>
    </row>
    <row r="13" spans="2:9" ht="15" customHeight="1" x14ac:dyDescent="0.25">
      <c r="B13" s="7" t="s">
        <v>103</v>
      </c>
      <c r="C13" s="8" t="s">
        <v>28</v>
      </c>
      <c r="D13" s="8" t="s">
        <v>29</v>
      </c>
      <c r="E13" s="8" t="s">
        <v>30</v>
      </c>
      <c r="F13" s="8" t="s">
        <v>31</v>
      </c>
    </row>
    <row r="14" spans="2:9" ht="13.5" customHeight="1" x14ac:dyDescent="0.25">
      <c r="B14" s="4" t="s">
        <v>98</v>
      </c>
      <c r="C14" s="26">
        <f>C7</f>
        <v>938.17</v>
      </c>
      <c r="D14" s="26">
        <f>D7</f>
        <v>969.3</v>
      </c>
      <c r="E14" s="26">
        <f t="shared" ref="E14:F14" si="0">E7</f>
        <v>1106.48</v>
      </c>
      <c r="F14" s="26">
        <f>F7</f>
        <v>1489.51</v>
      </c>
    </row>
    <row r="15" spans="2:9" ht="13.5" customHeight="1" x14ac:dyDescent="0.25">
      <c r="B15" s="12" t="s">
        <v>207</v>
      </c>
      <c r="C15" s="27">
        <f>C10</f>
        <v>230.5</v>
      </c>
      <c r="D15" s="27">
        <f t="shared" ref="D15:F15" si="1">D10</f>
        <v>626.29</v>
      </c>
      <c r="E15" s="27">
        <f t="shared" si="1"/>
        <v>252.4</v>
      </c>
      <c r="F15" s="27">
        <f t="shared" si="1"/>
        <v>344.87</v>
      </c>
    </row>
    <row r="16" spans="2:9" ht="13.5" customHeight="1" x14ac:dyDescent="0.25">
      <c r="B16" s="10" t="s">
        <v>208</v>
      </c>
      <c r="C16" s="16">
        <f>C14-C15</f>
        <v>707.67</v>
      </c>
      <c r="D16" s="16">
        <f>D14-D15</f>
        <v>343.01</v>
      </c>
      <c r="E16" s="16">
        <f>E14-E15</f>
        <v>854.08</v>
      </c>
      <c r="F16" s="16">
        <f>F14-F15</f>
        <v>1144.6399999999999</v>
      </c>
    </row>
    <row r="17" spans="2:9" ht="13.5" customHeight="1" x14ac:dyDescent="0.25">
      <c r="B17" s="4" t="s">
        <v>206</v>
      </c>
      <c r="C17" s="28">
        <f>C14*365/'P&amp;L Statement'!C5</f>
        <v>17.667793502224519</v>
      </c>
      <c r="D17" s="28">
        <f>D14*365/'P&amp;L Statement'!D5</f>
        <v>17.444137707287947</v>
      </c>
      <c r="E17" s="28">
        <f>E14*365/'P&amp;L Statement'!E5</f>
        <v>18.583398749711261</v>
      </c>
      <c r="F17" s="28">
        <f>F14*365/'P&amp;L Statement'!F5</f>
        <v>27.362301736091016</v>
      </c>
    </row>
    <row r="19" spans="2:9" ht="15.75" customHeight="1" x14ac:dyDescent="0.25">
      <c r="B19" s="56" t="s">
        <v>104</v>
      </c>
      <c r="C19" s="56"/>
      <c r="D19" s="56"/>
      <c r="E19" s="56"/>
      <c r="F19" s="56"/>
      <c r="G19" s="56"/>
      <c r="H19" s="56"/>
      <c r="I19" s="56"/>
    </row>
    <row r="20" spans="2:9" ht="15" customHeight="1" x14ac:dyDescent="0.25">
      <c r="B20" s="7" t="s">
        <v>105</v>
      </c>
      <c r="C20" s="8" t="s">
        <v>28</v>
      </c>
      <c r="D20" s="8" t="s">
        <v>29</v>
      </c>
      <c r="E20" s="8" t="s">
        <v>30</v>
      </c>
      <c r="F20" s="8" t="s">
        <v>31</v>
      </c>
    </row>
    <row r="21" spans="2:9" ht="13.5" customHeight="1" x14ac:dyDescent="0.25">
      <c r="B21" s="4" t="s">
        <v>106</v>
      </c>
      <c r="C21" s="29">
        <f>C9/C8</f>
        <v>1.1214573892290427</v>
      </c>
      <c r="D21" s="29">
        <f t="shared" ref="D21:F21" si="2">D9/D8</f>
        <v>0.9307671530987861</v>
      </c>
      <c r="E21" s="29">
        <f t="shared" si="2"/>
        <v>0.70110254115780812</v>
      </c>
      <c r="F21" s="29">
        <f t="shared" si="2"/>
        <v>0.56698385383569971</v>
      </c>
    </row>
    <row r="22" spans="2:9" ht="13.5" customHeight="1" x14ac:dyDescent="0.25">
      <c r="B22" s="12" t="s">
        <v>107</v>
      </c>
      <c r="C22" s="30">
        <f>C5/C8</f>
        <v>3.4412317275865503</v>
      </c>
      <c r="D22" s="30">
        <f t="shared" ref="D22:F22" si="3">D5/D8</f>
        <v>2.7135426714924029</v>
      </c>
      <c r="E22" s="30">
        <f t="shared" si="3"/>
        <v>2.3811952796900582</v>
      </c>
      <c r="F22" s="30">
        <f t="shared" si="3"/>
        <v>2.2594100921644027</v>
      </c>
    </row>
    <row r="23" spans="2:9" ht="13.5" customHeight="1" x14ac:dyDescent="0.25">
      <c r="B23" s="4" t="s">
        <v>108</v>
      </c>
      <c r="C23" s="65">
        <v>2.0699999999999998</v>
      </c>
      <c r="D23" s="31">
        <v>2.02</v>
      </c>
      <c r="E23" s="31">
        <v>2.11</v>
      </c>
      <c r="F23" s="31">
        <v>2.0499999999999998</v>
      </c>
    </row>
    <row r="24" spans="2:9" ht="13.5" customHeight="1" x14ac:dyDescent="0.25">
      <c r="B24" s="12" t="s">
        <v>109</v>
      </c>
      <c r="C24" s="66">
        <v>1.17</v>
      </c>
      <c r="D24" s="32">
        <v>0.99</v>
      </c>
      <c r="E24" s="32">
        <v>0.76</v>
      </c>
      <c r="F24" s="32">
        <v>0.62</v>
      </c>
    </row>
    <row r="25" spans="2:9" ht="15.75" thickBot="1" x14ac:dyDescent="0.3"/>
    <row r="26" spans="2:9" ht="15.75" customHeight="1" thickBot="1" x14ac:dyDescent="0.3">
      <c r="B26" s="57" t="s">
        <v>110</v>
      </c>
      <c r="C26" s="58"/>
      <c r="D26" s="58"/>
      <c r="E26" s="58"/>
      <c r="F26" s="59"/>
    </row>
    <row r="27" spans="2:9" ht="30" customHeight="1" x14ac:dyDescent="0.25">
      <c r="B27" s="63" t="s">
        <v>111</v>
      </c>
      <c r="C27" s="63"/>
      <c r="D27" s="63"/>
      <c r="E27" s="63"/>
      <c r="F27" s="63"/>
    </row>
    <row r="28" spans="2:9" ht="30" customHeight="1" x14ac:dyDescent="0.25">
      <c r="B28" s="50" t="s">
        <v>112</v>
      </c>
      <c r="C28" s="50"/>
      <c r="D28" s="50"/>
      <c r="E28" s="50"/>
      <c r="F28" s="50"/>
    </row>
    <row r="29" spans="2:9" ht="30" customHeight="1" x14ac:dyDescent="0.25">
      <c r="B29" s="49" t="s">
        <v>113</v>
      </c>
      <c r="C29" s="49"/>
      <c r="D29" s="49"/>
      <c r="E29" s="49"/>
      <c r="F29" s="49"/>
    </row>
    <row r="30" spans="2:9" ht="30" customHeight="1" x14ac:dyDescent="0.25">
      <c r="B30" s="50" t="s">
        <v>114</v>
      </c>
      <c r="C30" s="50"/>
      <c r="D30" s="50"/>
      <c r="E30" s="50"/>
      <c r="F30" s="50"/>
    </row>
    <row r="31" spans="2:9" ht="15.75" customHeight="1" x14ac:dyDescent="0.25">
      <c r="B31" s="56" t="s">
        <v>115</v>
      </c>
      <c r="C31" s="56"/>
      <c r="D31" s="56"/>
      <c r="E31" s="56"/>
      <c r="F31" s="56"/>
      <c r="G31" s="56"/>
      <c r="H31" s="56"/>
      <c r="I31" s="56"/>
    </row>
    <row r="32" spans="2:9" ht="15" customHeight="1" x14ac:dyDescent="0.25">
      <c r="B32" s="7" t="s">
        <v>76</v>
      </c>
      <c r="C32" s="8" t="s">
        <v>77</v>
      </c>
      <c r="D32" s="8" t="s">
        <v>78</v>
      </c>
      <c r="E32" s="8" t="s">
        <v>79</v>
      </c>
    </row>
    <row r="33" spans="2:9" ht="13.5" customHeight="1" x14ac:dyDescent="0.25">
      <c r="B33" s="20" t="s">
        <v>116</v>
      </c>
      <c r="C33" s="21">
        <v>0.09</v>
      </c>
      <c r="D33" s="21">
        <v>0.1</v>
      </c>
      <c r="E33" s="21">
        <v>0.11</v>
      </c>
    </row>
    <row r="34" spans="2:9" ht="13.5" customHeight="1" x14ac:dyDescent="0.25">
      <c r="B34" s="20" t="s">
        <v>117</v>
      </c>
      <c r="C34" s="11">
        <v>300</v>
      </c>
      <c r="D34" s="11">
        <v>300</v>
      </c>
      <c r="E34" s="11">
        <v>300</v>
      </c>
    </row>
    <row r="35" spans="2:9" ht="13.5" customHeight="1" x14ac:dyDescent="0.25">
      <c r="B35" s="20" t="s">
        <v>118</v>
      </c>
      <c r="C35" s="21">
        <v>0.08</v>
      </c>
      <c r="D35" s="21">
        <v>0.08</v>
      </c>
      <c r="E35" s="21">
        <v>0.08</v>
      </c>
    </row>
    <row r="36" spans="2:9" ht="15.75" customHeight="1" x14ac:dyDescent="0.25">
      <c r="B36" s="56" t="s">
        <v>119</v>
      </c>
      <c r="C36" s="56"/>
      <c r="D36" s="56"/>
      <c r="E36" s="56"/>
      <c r="F36" s="56"/>
      <c r="G36" s="56"/>
      <c r="H36" s="56"/>
      <c r="I36" s="56"/>
    </row>
    <row r="37" spans="2:9" ht="21.75" customHeight="1" x14ac:dyDescent="0.25">
      <c r="B37" s="7" t="s">
        <v>83</v>
      </c>
      <c r="C37" s="22" t="s">
        <v>77</v>
      </c>
      <c r="D37" s="22" t="s">
        <v>78</v>
      </c>
      <c r="E37" s="22" t="s">
        <v>79</v>
      </c>
    </row>
    <row r="38" spans="2:9" ht="13.5" customHeight="1" x14ac:dyDescent="0.25">
      <c r="B38" s="25">
        <f>8623.72</f>
        <v>8623.7199999999993</v>
      </c>
      <c r="C38" s="25">
        <f>B38*(1+C33)</f>
        <v>9399.8547999999992</v>
      </c>
      <c r="D38" s="25">
        <f>C38*(1+D33)</f>
        <v>10339.84028</v>
      </c>
      <c r="E38" s="25">
        <f>D38*(1+E33)</f>
        <v>11477.222710800001</v>
      </c>
    </row>
    <row r="39" spans="2:9" ht="13.5" customHeight="1" x14ac:dyDescent="0.25">
      <c r="B39" s="24">
        <f>4889.51</f>
        <v>4889.51</v>
      </c>
      <c r="C39" s="24">
        <f>B39-C34</f>
        <v>4589.51</v>
      </c>
      <c r="D39" s="24">
        <f>C39-D34</f>
        <v>4289.51</v>
      </c>
      <c r="E39" s="24">
        <f>D39-E34</f>
        <v>3989.51</v>
      </c>
    </row>
    <row r="40" spans="2:9" ht="13.5" customHeight="1" x14ac:dyDescent="0.25">
      <c r="B40" s="23">
        <f>1489.51</f>
        <v>1489.51</v>
      </c>
      <c r="C40" s="23">
        <f>B40*(1+C35)</f>
        <v>1608.6708000000001</v>
      </c>
      <c r="D40" s="23">
        <f>C40*(1+D35)</f>
        <v>1737.3644640000002</v>
      </c>
      <c r="E40" s="23">
        <f>D40*(1+E35)</f>
        <v>1876.3536211200003</v>
      </c>
    </row>
    <row r="41" spans="2:9" ht="13.5" customHeight="1" x14ac:dyDescent="0.25">
      <c r="B41" s="29">
        <f>4889.51/8623.72</f>
        <v>0.56698385383569971</v>
      </c>
      <c r="C41" s="29">
        <f>C39/C38</f>
        <v>0.48825328663587447</v>
      </c>
      <c r="D41" s="29">
        <f>D39/D38</f>
        <v>0.41485263638907971</v>
      </c>
      <c r="E41" s="29">
        <f>E39/E38</f>
        <v>0.34760238609344873</v>
      </c>
    </row>
    <row r="42" spans="2:9" ht="15.75" customHeight="1" x14ac:dyDescent="0.25">
      <c r="B42" s="56" t="s">
        <v>120</v>
      </c>
      <c r="C42" s="56"/>
      <c r="D42" s="56"/>
      <c r="E42" s="56"/>
      <c r="F42" s="56"/>
      <c r="G42" s="56"/>
      <c r="H42" s="56"/>
      <c r="I42" s="56"/>
    </row>
    <row r="43" spans="2:9" ht="27.75" customHeight="1" x14ac:dyDescent="0.25">
      <c r="B43" s="49" t="s">
        <v>121</v>
      </c>
      <c r="C43" s="49"/>
      <c r="D43" s="49"/>
      <c r="E43" s="49"/>
      <c r="F43" s="49"/>
      <c r="G43" s="49"/>
      <c r="H43" s="49"/>
      <c r="I43" s="49"/>
    </row>
    <row r="44" spans="2:9" ht="27.75" customHeight="1" x14ac:dyDescent="0.25">
      <c r="B44" s="55" t="s">
        <v>122</v>
      </c>
      <c r="C44" s="55"/>
      <c r="D44" s="55"/>
      <c r="E44" s="55"/>
      <c r="F44" s="55"/>
      <c r="G44" s="55"/>
      <c r="H44" s="55"/>
      <c r="I44" s="55"/>
    </row>
    <row r="45" spans="2:9" ht="27.75" customHeight="1" x14ac:dyDescent="0.25">
      <c r="B45" s="49" t="s">
        <v>123</v>
      </c>
      <c r="C45" s="49"/>
      <c r="D45" s="49"/>
      <c r="E45" s="49"/>
      <c r="F45" s="49"/>
      <c r="G45" s="49"/>
      <c r="H45" s="49"/>
      <c r="I45" s="49"/>
    </row>
    <row r="46" spans="2:9" ht="27.75" customHeight="1" x14ac:dyDescent="0.25">
      <c r="B46" s="55" t="s">
        <v>124</v>
      </c>
      <c r="C46" s="55"/>
      <c r="D46" s="55"/>
      <c r="E46" s="55"/>
      <c r="F46" s="55"/>
      <c r="G46" s="55"/>
      <c r="H46" s="55"/>
      <c r="I46" s="55"/>
    </row>
    <row r="48" spans="2:9" ht="13.5" customHeight="1" x14ac:dyDescent="0.25">
      <c r="B48" s="48" t="s">
        <v>2</v>
      </c>
      <c r="C48" s="48"/>
      <c r="D48" s="48"/>
      <c r="E48" s="48"/>
      <c r="F48" s="48"/>
      <c r="G48" s="48"/>
      <c r="H48" s="48"/>
      <c r="I48" s="48"/>
    </row>
  </sheetData>
  <mergeCells count="17">
    <mergeCell ref="B1:I1"/>
    <mergeCell ref="B3:F3"/>
    <mergeCell ref="B12:I12"/>
    <mergeCell ref="B19:I19"/>
    <mergeCell ref="B26:F26"/>
    <mergeCell ref="B27:F27"/>
    <mergeCell ref="B28:F28"/>
    <mergeCell ref="B29:F29"/>
    <mergeCell ref="B30:F30"/>
    <mergeCell ref="B31:I31"/>
    <mergeCell ref="B46:I46"/>
    <mergeCell ref="B48:I48"/>
    <mergeCell ref="B36:I36"/>
    <mergeCell ref="B42:I42"/>
    <mergeCell ref="B43:I43"/>
    <mergeCell ref="B44:I44"/>
    <mergeCell ref="B45:I45"/>
  </mergeCells>
  <pageMargins left="0.75" right="0.75" top="1" bottom="1" header="0.511811023622047" footer="0.511811023622047"/>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topLeftCell="A16" zoomScaleNormal="100" workbookViewId="0">
      <selection activeCell="O22" sqref="O22"/>
    </sheetView>
  </sheetViews>
  <sheetFormatPr defaultColWidth="8.7109375" defaultRowHeight="15" x14ac:dyDescent="0.25"/>
  <cols>
    <col min="1" max="1" width="2" style="1" customWidth="1"/>
    <col min="2" max="2" width="46.85546875" style="1" bestFit="1" customWidth="1"/>
    <col min="3" max="5" width="13" style="1" customWidth="1"/>
    <col min="6" max="6" width="9.85546875" style="1" bestFit="1" customWidth="1"/>
    <col min="7" max="9" width="14" style="1" customWidth="1"/>
    <col min="10" max="10" width="2" style="1" customWidth="1"/>
  </cols>
  <sheetData>
    <row r="1" spans="2:9" ht="21.75" customHeight="1" x14ac:dyDescent="0.25">
      <c r="B1" s="61" t="s">
        <v>125</v>
      </c>
      <c r="C1" s="61"/>
      <c r="D1" s="61"/>
      <c r="E1" s="61"/>
      <c r="F1" s="61"/>
      <c r="G1" s="61"/>
      <c r="H1" s="61"/>
      <c r="I1" s="61"/>
    </row>
    <row r="3" spans="2:9" ht="15.75" customHeight="1" x14ac:dyDescent="0.25">
      <c r="B3" s="56" t="s">
        <v>126</v>
      </c>
      <c r="C3" s="56"/>
      <c r="D3" s="56"/>
      <c r="E3" s="56"/>
      <c r="F3" s="56"/>
    </row>
    <row r="4" spans="2:9" ht="15" customHeight="1" x14ac:dyDescent="0.25">
      <c r="B4" s="7" t="s">
        <v>27</v>
      </c>
      <c r="C4" s="8" t="s">
        <v>28</v>
      </c>
      <c r="D4" s="8" t="s">
        <v>29</v>
      </c>
      <c r="E4" s="8" t="s">
        <v>30</v>
      </c>
      <c r="F4" s="8" t="s">
        <v>31</v>
      </c>
    </row>
    <row r="5" spans="2:9" ht="13.5" customHeight="1" x14ac:dyDescent="0.25">
      <c r="B5" s="10" t="s">
        <v>127</v>
      </c>
      <c r="C5" s="11">
        <v>4806.17</v>
      </c>
      <c r="D5" s="11">
        <v>-4080.06</v>
      </c>
      <c r="E5" s="11">
        <v>2939.27</v>
      </c>
      <c r="F5" s="11">
        <v>1919.9</v>
      </c>
    </row>
    <row r="6" spans="2:9" ht="13.5" customHeight="1" x14ac:dyDescent="0.25">
      <c r="B6" s="4" t="s">
        <v>128</v>
      </c>
      <c r="C6" s="9">
        <v>-1462.83</v>
      </c>
      <c r="D6" s="9">
        <v>1353.66</v>
      </c>
      <c r="E6" s="9">
        <v>-1431.35</v>
      </c>
      <c r="F6" s="9">
        <v>1581.62</v>
      </c>
    </row>
    <row r="7" spans="2:9" ht="13.5" customHeight="1" x14ac:dyDescent="0.25">
      <c r="B7" s="12" t="s">
        <v>129</v>
      </c>
      <c r="C7" s="13">
        <v>-189.36</v>
      </c>
      <c r="D7" s="13">
        <v>-1036.01</v>
      </c>
      <c r="E7" s="13">
        <v>-1286.56</v>
      </c>
      <c r="F7" s="13">
        <v>-1484.17</v>
      </c>
    </row>
    <row r="8" spans="2:9" ht="13.5" customHeight="1" x14ac:dyDescent="0.25">
      <c r="B8" s="14" t="s">
        <v>130</v>
      </c>
      <c r="C8" s="25">
        <f>C5+C6+C7</f>
        <v>3153.98</v>
      </c>
      <c r="D8" s="25">
        <f>D5+D6+D7</f>
        <v>-3762.41</v>
      </c>
      <c r="E8" s="25">
        <f>E5+E6+E7</f>
        <v>221.36000000000013</v>
      </c>
      <c r="F8" s="25">
        <f>F5+F6+F7</f>
        <v>2017.35</v>
      </c>
    </row>
    <row r="9" spans="2:9" ht="13.5" customHeight="1" x14ac:dyDescent="0.25">
      <c r="B9" s="14" t="s">
        <v>131</v>
      </c>
      <c r="C9" s="15">
        <v>4569.93</v>
      </c>
      <c r="D9" s="15">
        <v>807.53</v>
      </c>
      <c r="E9" s="15">
        <v>1027.49</v>
      </c>
      <c r="F9" s="15">
        <v>3044.8</v>
      </c>
    </row>
    <row r="11" spans="2:9" ht="15.75" customHeight="1" x14ac:dyDescent="0.25">
      <c r="B11" s="56" t="s">
        <v>204</v>
      </c>
      <c r="C11" s="56"/>
      <c r="D11" s="56"/>
      <c r="E11" s="56"/>
      <c r="F11" s="56"/>
      <c r="G11" s="56"/>
      <c r="H11" s="56"/>
      <c r="I11" s="56"/>
    </row>
    <row r="12" spans="2:9" ht="15" customHeight="1" x14ac:dyDescent="0.25">
      <c r="B12" s="7" t="s">
        <v>103</v>
      </c>
      <c r="C12" s="8" t="s">
        <v>28</v>
      </c>
      <c r="D12" s="8" t="s">
        <v>29</v>
      </c>
      <c r="E12" s="8" t="s">
        <v>30</v>
      </c>
      <c r="F12" s="8" t="s">
        <v>31</v>
      </c>
    </row>
    <row r="13" spans="2:9" ht="13.5" customHeight="1" x14ac:dyDescent="0.25">
      <c r="B13" s="4" t="s">
        <v>45</v>
      </c>
      <c r="C13" s="9">
        <v>1087.3499999999999</v>
      </c>
      <c r="D13" s="9">
        <v>1267.97</v>
      </c>
      <c r="E13" s="9">
        <v>1462.95</v>
      </c>
      <c r="F13" s="9">
        <v>1188.6199999999999</v>
      </c>
    </row>
    <row r="14" spans="2:9" ht="13.5" customHeight="1" x14ac:dyDescent="0.25">
      <c r="B14" s="12" t="s">
        <v>132</v>
      </c>
      <c r="C14" s="13">
        <v>4806.17</v>
      </c>
      <c r="D14" s="13">
        <v>-4080.06</v>
      </c>
      <c r="E14" s="13">
        <v>2939.27</v>
      </c>
      <c r="F14" s="13">
        <v>1919.9</v>
      </c>
    </row>
    <row r="15" spans="2:9" ht="13.5" customHeight="1" x14ac:dyDescent="0.25">
      <c r="B15" s="10" t="s">
        <v>133</v>
      </c>
      <c r="C15" s="16">
        <f>C14-C13</f>
        <v>3718.82</v>
      </c>
      <c r="D15" s="16">
        <f>D14-D13</f>
        <v>-5348.03</v>
      </c>
      <c r="E15" s="16">
        <f>E14-E13</f>
        <v>1476.32</v>
      </c>
      <c r="F15" s="16">
        <f>F14-F13</f>
        <v>731.2800000000002</v>
      </c>
    </row>
    <row r="16" spans="2:9" ht="13.5" customHeight="1" x14ac:dyDescent="0.25">
      <c r="B16" s="4" t="s">
        <v>134</v>
      </c>
      <c r="C16" s="29">
        <f>C14/C13</f>
        <v>4.4200763323676835</v>
      </c>
      <c r="D16" s="29">
        <f>D14/D13</f>
        <v>-3.2177890644100411</v>
      </c>
      <c r="E16" s="29">
        <f>E14/E13</f>
        <v>2.0091390683208585</v>
      </c>
      <c r="F16" s="29">
        <f>F14/F13</f>
        <v>1.6152344735912236</v>
      </c>
    </row>
    <row r="17" spans="2:9" ht="15.75" thickBot="1" x14ac:dyDescent="0.3"/>
    <row r="18" spans="2:9" ht="15.75" customHeight="1" thickBot="1" x14ac:dyDescent="0.3">
      <c r="B18" s="57" t="s">
        <v>135</v>
      </c>
      <c r="C18" s="58"/>
      <c r="D18" s="58"/>
      <c r="E18" s="58"/>
      <c r="F18" s="59"/>
    </row>
    <row r="19" spans="2:9" ht="30" customHeight="1" x14ac:dyDescent="0.25">
      <c r="B19" s="63" t="s">
        <v>136</v>
      </c>
      <c r="C19" s="63"/>
      <c r="D19" s="63"/>
      <c r="E19" s="63"/>
      <c r="F19" s="63"/>
    </row>
    <row r="20" spans="2:9" ht="36" customHeight="1" x14ac:dyDescent="0.25">
      <c r="B20" s="50" t="s">
        <v>137</v>
      </c>
      <c r="C20" s="50"/>
      <c r="D20" s="50"/>
      <c r="E20" s="50"/>
      <c r="F20" s="50"/>
    </row>
    <row r="21" spans="2:9" ht="30" customHeight="1" x14ac:dyDescent="0.25">
      <c r="B21" s="49" t="s">
        <v>138</v>
      </c>
      <c r="C21" s="49"/>
      <c r="D21" s="49"/>
      <c r="E21" s="49"/>
      <c r="F21" s="49"/>
    </row>
    <row r="22" spans="2:9" ht="30" customHeight="1" x14ac:dyDescent="0.25">
      <c r="B22" s="50" t="s">
        <v>139</v>
      </c>
      <c r="C22" s="50"/>
      <c r="D22" s="50"/>
      <c r="E22" s="50"/>
      <c r="F22" s="50"/>
    </row>
    <row r="23" spans="2:9" ht="30" customHeight="1" x14ac:dyDescent="0.25">
      <c r="B23" s="49" t="s">
        <v>140</v>
      </c>
      <c r="C23" s="49"/>
      <c r="D23" s="49"/>
      <c r="E23" s="49"/>
      <c r="F23" s="49"/>
    </row>
    <row r="24" spans="2:9" ht="15.75" customHeight="1" x14ac:dyDescent="0.25">
      <c r="B24" s="56" t="s">
        <v>202</v>
      </c>
      <c r="C24" s="56"/>
      <c r="D24" s="56"/>
      <c r="E24" s="56"/>
      <c r="F24" s="56"/>
      <c r="G24" s="56"/>
      <c r="H24" s="56"/>
      <c r="I24" s="56"/>
    </row>
    <row r="25" spans="2:9" ht="15" customHeight="1" x14ac:dyDescent="0.25">
      <c r="B25" s="7" t="s">
        <v>76</v>
      </c>
      <c r="C25" s="8" t="s">
        <v>77</v>
      </c>
      <c r="D25" s="8" t="s">
        <v>78</v>
      </c>
      <c r="E25" s="8" t="s">
        <v>79</v>
      </c>
    </row>
    <row r="26" spans="2:9" ht="13.5" customHeight="1" x14ac:dyDescent="0.25">
      <c r="B26" s="20" t="s">
        <v>141</v>
      </c>
      <c r="C26" s="11">
        <v>1350</v>
      </c>
      <c r="D26" s="11">
        <v>1500</v>
      </c>
      <c r="E26" s="11">
        <v>1700</v>
      </c>
    </row>
    <row r="27" spans="2:9" ht="13.5" customHeight="1" x14ac:dyDescent="0.25">
      <c r="B27" s="20" t="s">
        <v>142</v>
      </c>
      <c r="C27" s="33">
        <v>1.2</v>
      </c>
      <c r="D27" s="33">
        <v>1.3</v>
      </c>
      <c r="E27" s="33">
        <v>1.4</v>
      </c>
    </row>
    <row r="28" spans="2:9" ht="13.5" customHeight="1" x14ac:dyDescent="0.25">
      <c r="B28" s="20" t="s">
        <v>143</v>
      </c>
      <c r="C28" s="11">
        <v>-1500</v>
      </c>
      <c r="D28" s="11">
        <v>-1500</v>
      </c>
      <c r="E28" s="11">
        <v>-1500</v>
      </c>
    </row>
    <row r="29" spans="2:9" ht="15.75" customHeight="1" x14ac:dyDescent="0.25">
      <c r="B29" s="56" t="s">
        <v>203</v>
      </c>
      <c r="C29" s="56"/>
      <c r="D29" s="56"/>
      <c r="E29" s="56"/>
      <c r="F29" s="56"/>
      <c r="G29" s="56"/>
      <c r="H29" s="56"/>
      <c r="I29" s="56"/>
    </row>
    <row r="30" spans="2:9" ht="21.75" customHeight="1" x14ac:dyDescent="0.25">
      <c r="B30" s="7" t="s">
        <v>83</v>
      </c>
      <c r="C30" s="22" t="s">
        <v>77</v>
      </c>
      <c r="D30" s="22" t="s">
        <v>78</v>
      </c>
      <c r="E30" s="22" t="s">
        <v>79</v>
      </c>
    </row>
    <row r="31" spans="2:9" ht="13.5" customHeight="1" x14ac:dyDescent="0.25">
      <c r="B31" s="16">
        <f>1919.9</f>
        <v>1919.9</v>
      </c>
      <c r="C31" s="16">
        <f>C26*C27</f>
        <v>1620</v>
      </c>
      <c r="D31" s="16">
        <f>D26*D27</f>
        <v>1950</v>
      </c>
      <c r="E31" s="16">
        <f>E26*E27</f>
        <v>2380</v>
      </c>
    </row>
    <row r="32" spans="2:9" ht="13.5" customHeight="1" x14ac:dyDescent="0.25">
      <c r="B32" s="24">
        <f>-1484.17</f>
        <v>-1484.17</v>
      </c>
      <c r="C32" s="24">
        <f>C28</f>
        <v>-1500</v>
      </c>
      <c r="D32" s="24">
        <f>D28</f>
        <v>-1500</v>
      </c>
      <c r="E32" s="24">
        <f>E28</f>
        <v>-1500</v>
      </c>
    </row>
    <row r="33" spans="2:9" ht="13.5" customHeight="1" x14ac:dyDescent="0.25">
      <c r="B33" s="25">
        <f>B31+B32</f>
        <v>435.73</v>
      </c>
      <c r="C33" s="25">
        <f>C31+C32</f>
        <v>120</v>
      </c>
      <c r="D33" s="25">
        <f>D31+D32</f>
        <v>450</v>
      </c>
      <c r="E33" s="25">
        <f>E31+E32</f>
        <v>880</v>
      </c>
    </row>
    <row r="34" spans="2:9" ht="13.5" customHeight="1" x14ac:dyDescent="0.25">
      <c r="B34" s="25">
        <f>3044.8</f>
        <v>3044.8</v>
      </c>
      <c r="C34" s="25">
        <f>B34+C33</f>
        <v>3164.8</v>
      </c>
      <c r="D34" s="25">
        <f>C34+D33</f>
        <v>3614.8</v>
      </c>
      <c r="E34" s="25">
        <f>D34+E33</f>
        <v>4494.8</v>
      </c>
    </row>
    <row r="35" spans="2:9" ht="15.75" customHeight="1" x14ac:dyDescent="0.25">
      <c r="B35" s="56" t="s">
        <v>144</v>
      </c>
      <c r="C35" s="56"/>
      <c r="D35" s="56"/>
      <c r="E35" s="56"/>
      <c r="F35" s="56"/>
      <c r="G35" s="56"/>
      <c r="H35" s="56"/>
      <c r="I35" s="56"/>
    </row>
    <row r="36" spans="2:9" ht="27.75" customHeight="1" x14ac:dyDescent="0.25">
      <c r="B36" s="55" t="s">
        <v>145</v>
      </c>
      <c r="C36" s="55"/>
      <c r="D36" s="55"/>
      <c r="E36" s="55"/>
      <c r="F36" s="55"/>
      <c r="G36" s="55"/>
      <c r="H36" s="55"/>
      <c r="I36" s="55"/>
    </row>
    <row r="37" spans="2:9" ht="27.75" customHeight="1" x14ac:dyDescent="0.25">
      <c r="B37" s="49" t="s">
        <v>146</v>
      </c>
      <c r="C37" s="49"/>
      <c r="D37" s="49"/>
      <c r="E37" s="49"/>
      <c r="F37" s="49"/>
      <c r="G37" s="49"/>
      <c r="H37" s="49"/>
      <c r="I37" s="49"/>
    </row>
    <row r="38" spans="2:9" ht="27.75" customHeight="1" x14ac:dyDescent="0.25">
      <c r="B38" s="55" t="s">
        <v>147</v>
      </c>
      <c r="C38" s="55"/>
      <c r="D38" s="55"/>
      <c r="E38" s="55"/>
      <c r="F38" s="55"/>
      <c r="G38" s="55"/>
      <c r="H38" s="55"/>
      <c r="I38" s="55"/>
    </row>
    <row r="39" spans="2:9" ht="27.75" customHeight="1" x14ac:dyDescent="0.25">
      <c r="B39" s="49" t="s">
        <v>148</v>
      </c>
      <c r="C39" s="49"/>
      <c r="D39" s="49"/>
      <c r="E39" s="49"/>
      <c r="F39" s="49"/>
      <c r="G39" s="49"/>
      <c r="H39" s="49"/>
      <c r="I39" s="49"/>
    </row>
    <row r="40" spans="2:9" ht="27.75" customHeight="1" x14ac:dyDescent="0.25">
      <c r="B40" s="55" t="s">
        <v>149</v>
      </c>
      <c r="C40" s="55"/>
      <c r="D40" s="55"/>
      <c r="E40" s="55"/>
      <c r="F40" s="55"/>
      <c r="G40" s="55"/>
      <c r="H40" s="55"/>
      <c r="I40" s="55"/>
    </row>
    <row r="42" spans="2:9" ht="13.5" customHeight="1" x14ac:dyDescent="0.25">
      <c r="B42" s="48" t="s">
        <v>2</v>
      </c>
      <c r="C42" s="48"/>
      <c r="D42" s="48"/>
      <c r="E42" s="48"/>
      <c r="F42" s="48"/>
      <c r="G42" s="48"/>
      <c r="H42" s="48"/>
      <c r="I42" s="48"/>
    </row>
  </sheetData>
  <mergeCells count="18">
    <mergeCell ref="B1:I1"/>
    <mergeCell ref="B3:F3"/>
    <mergeCell ref="B11:I11"/>
    <mergeCell ref="B18:F18"/>
    <mergeCell ref="B19:F19"/>
    <mergeCell ref="B20:F20"/>
    <mergeCell ref="B21:F21"/>
    <mergeCell ref="B22:F22"/>
    <mergeCell ref="B23:F23"/>
    <mergeCell ref="B24:I24"/>
    <mergeCell ref="B39:I39"/>
    <mergeCell ref="B40:I40"/>
    <mergeCell ref="B42:I42"/>
    <mergeCell ref="B29:I29"/>
    <mergeCell ref="B35:I35"/>
    <mergeCell ref="B36:I36"/>
    <mergeCell ref="B37:I37"/>
    <mergeCell ref="B38:I38"/>
  </mergeCell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zoomScaleNormal="100" workbookViewId="0">
      <selection activeCell="B27" sqref="B27"/>
    </sheetView>
  </sheetViews>
  <sheetFormatPr defaultColWidth="8.7109375" defaultRowHeight="15" x14ac:dyDescent="0.25"/>
  <cols>
    <col min="1" max="1" width="68.85546875" style="1" bestFit="1" customWidth="1"/>
    <col min="2" max="5" width="14" style="1" customWidth="1"/>
    <col min="6" max="6" width="4" style="1" customWidth="1"/>
  </cols>
  <sheetData>
    <row r="1" spans="1:5" ht="21.75" customHeight="1" x14ac:dyDescent="0.25">
      <c r="A1" s="61" t="s">
        <v>201</v>
      </c>
      <c r="B1" s="61"/>
      <c r="C1" s="61"/>
      <c r="D1" s="61"/>
      <c r="E1" s="61"/>
    </row>
    <row r="2" spans="1:5" ht="13.5" customHeight="1" x14ac:dyDescent="0.25">
      <c r="A2" s="64" t="s">
        <v>198</v>
      </c>
      <c r="B2" s="64"/>
      <c r="C2" s="64"/>
      <c r="D2" s="64"/>
      <c r="E2" s="64"/>
    </row>
    <row r="4" spans="1:5" ht="15" customHeight="1" x14ac:dyDescent="0.25">
      <c r="A4" s="7" t="s">
        <v>150</v>
      </c>
      <c r="B4" s="8" t="s">
        <v>28</v>
      </c>
      <c r="C4" s="8" t="s">
        <v>29</v>
      </c>
      <c r="D4" s="8" t="s">
        <v>30</v>
      </c>
      <c r="E4" s="8" t="s">
        <v>31</v>
      </c>
    </row>
    <row r="5" spans="1:5" ht="13.5" customHeight="1" x14ac:dyDescent="0.25">
      <c r="A5" s="34" t="s">
        <v>151</v>
      </c>
      <c r="B5" s="35"/>
      <c r="C5" s="35"/>
      <c r="D5" s="35"/>
      <c r="E5" s="35"/>
    </row>
    <row r="6" spans="1:5" ht="13.5" customHeight="1" x14ac:dyDescent="0.25">
      <c r="A6" s="12" t="s">
        <v>32</v>
      </c>
      <c r="B6" s="13">
        <v>19381.71</v>
      </c>
      <c r="C6" s="13">
        <v>20281.57</v>
      </c>
      <c r="D6" s="13">
        <v>21732.58</v>
      </c>
      <c r="E6" s="13">
        <v>19869.349999999999</v>
      </c>
    </row>
    <row r="7" spans="1:5" ht="13.5" customHeight="1" x14ac:dyDescent="0.25">
      <c r="A7" s="4" t="s">
        <v>33</v>
      </c>
      <c r="B7" s="9">
        <v>809.26</v>
      </c>
      <c r="C7" s="9">
        <v>1003.94</v>
      </c>
      <c r="D7" s="9">
        <v>1182.55</v>
      </c>
      <c r="E7" s="9">
        <v>1018.89</v>
      </c>
    </row>
    <row r="8" spans="1:5" ht="13.5" customHeight="1" x14ac:dyDescent="0.25">
      <c r="A8" s="10" t="s">
        <v>34</v>
      </c>
      <c r="B8" s="11">
        <v>20190.97</v>
      </c>
      <c r="C8" s="11">
        <v>21285.51</v>
      </c>
      <c r="D8" s="11">
        <v>22915.13</v>
      </c>
      <c r="E8" s="11">
        <v>20888.240000000002</v>
      </c>
    </row>
    <row r="10" spans="1:5" ht="13.5" customHeight="1" x14ac:dyDescent="0.25">
      <c r="A10" s="34" t="s">
        <v>35</v>
      </c>
      <c r="B10" s="35"/>
      <c r="C10" s="35"/>
      <c r="D10" s="35"/>
      <c r="E10" s="35"/>
    </row>
    <row r="11" spans="1:5" ht="13.5" customHeight="1" x14ac:dyDescent="0.25">
      <c r="A11" s="4" t="s">
        <v>36</v>
      </c>
      <c r="B11" s="9">
        <v>17905.57</v>
      </c>
      <c r="C11" s="9">
        <v>18727.599999999999</v>
      </c>
      <c r="D11" s="9">
        <v>20041.240000000002</v>
      </c>
      <c r="E11" s="9">
        <v>18385.2</v>
      </c>
    </row>
    <row r="12" spans="1:5" ht="13.5" customHeight="1" x14ac:dyDescent="0.25">
      <c r="A12" s="12" t="s">
        <v>37</v>
      </c>
      <c r="B12" s="13">
        <v>203.05</v>
      </c>
      <c r="C12" s="13">
        <v>187.16</v>
      </c>
      <c r="D12" s="13">
        <v>184.18</v>
      </c>
      <c r="E12" s="13">
        <v>182.98</v>
      </c>
    </row>
    <row r="13" spans="1:5" ht="13.5" customHeight="1" x14ac:dyDescent="0.25">
      <c r="A13" s="4" t="s">
        <v>38</v>
      </c>
      <c r="B13" s="9">
        <v>563.71</v>
      </c>
      <c r="C13" s="9">
        <v>581.37</v>
      </c>
      <c r="D13" s="9">
        <v>568.49</v>
      </c>
      <c r="E13" s="9">
        <v>539.51</v>
      </c>
    </row>
    <row r="14" spans="1:5" ht="13.5" customHeight="1" x14ac:dyDescent="0.25">
      <c r="A14" s="12" t="s">
        <v>39</v>
      </c>
      <c r="B14" s="13">
        <v>20.9</v>
      </c>
      <c r="C14" s="13">
        <v>22.27</v>
      </c>
      <c r="D14" s="13">
        <v>20.82</v>
      </c>
      <c r="E14" s="13">
        <v>30.6</v>
      </c>
    </row>
    <row r="15" spans="1:5" ht="13.5" customHeight="1" x14ac:dyDescent="0.25">
      <c r="A15" s="4" t="s">
        <v>40</v>
      </c>
      <c r="B15" s="9">
        <v>91.5</v>
      </c>
      <c r="C15" s="9">
        <v>122.73</v>
      </c>
      <c r="D15" s="9">
        <v>161</v>
      </c>
      <c r="E15" s="9">
        <v>199.78</v>
      </c>
    </row>
    <row r="16" spans="1:5" ht="13.5" customHeight="1" x14ac:dyDescent="0.25">
      <c r="A16" s="10" t="s">
        <v>41</v>
      </c>
      <c r="B16" s="11">
        <v>18784.73</v>
      </c>
      <c r="C16" s="11">
        <v>19641.13</v>
      </c>
      <c r="D16" s="11">
        <v>20975.73</v>
      </c>
      <c r="E16" s="11">
        <v>19338.07</v>
      </c>
    </row>
    <row r="18" spans="1:5" ht="13.5" customHeight="1" x14ac:dyDescent="0.25">
      <c r="A18" s="34" t="s">
        <v>42</v>
      </c>
      <c r="B18" s="35"/>
      <c r="C18" s="35"/>
      <c r="D18" s="35"/>
      <c r="E18" s="35"/>
    </row>
    <row r="19" spans="1:5" ht="13.5" customHeight="1" x14ac:dyDescent="0.25">
      <c r="A19" s="4" t="s">
        <v>152</v>
      </c>
      <c r="B19" s="9">
        <v>1406.24</v>
      </c>
      <c r="C19" s="9">
        <v>1644.38</v>
      </c>
      <c r="D19" s="9">
        <v>1939.4</v>
      </c>
      <c r="E19" s="9">
        <v>1550.17</v>
      </c>
    </row>
    <row r="20" spans="1:5" ht="13.5" customHeight="1" x14ac:dyDescent="0.25">
      <c r="A20" s="10" t="s">
        <v>44</v>
      </c>
      <c r="B20" s="11">
        <v>318.89</v>
      </c>
      <c r="C20" s="11">
        <v>376.42</v>
      </c>
      <c r="D20" s="11">
        <v>476.45</v>
      </c>
      <c r="E20" s="11">
        <v>361.55</v>
      </c>
    </row>
    <row r="21" spans="1:5" ht="13.5" customHeight="1" x14ac:dyDescent="0.25">
      <c r="A21" s="14" t="s">
        <v>45</v>
      </c>
      <c r="B21" s="15">
        <v>1087.3499999999999</v>
      </c>
      <c r="C21" s="15">
        <v>1267.97</v>
      </c>
      <c r="D21" s="15">
        <v>1462.95</v>
      </c>
      <c r="E21" s="15">
        <v>1188.6199999999999</v>
      </c>
    </row>
    <row r="23" spans="1:5" ht="13.5" customHeight="1" x14ac:dyDescent="0.25">
      <c r="A23" s="34" t="s">
        <v>153</v>
      </c>
      <c r="B23" s="35"/>
      <c r="C23" s="35"/>
      <c r="D23" s="35"/>
      <c r="E23" s="35"/>
    </row>
    <row r="24" spans="1:5" ht="13.5" customHeight="1" x14ac:dyDescent="0.25">
      <c r="A24" s="10" t="s">
        <v>154</v>
      </c>
      <c r="B24" s="11">
        <v>19379.09</v>
      </c>
      <c r="C24" s="11">
        <v>17581.45</v>
      </c>
      <c r="D24" s="11">
        <v>18733.53</v>
      </c>
      <c r="E24" s="11">
        <v>19484.52</v>
      </c>
    </row>
    <row r="25" spans="1:5" ht="13.5" customHeight="1" x14ac:dyDescent="0.25">
      <c r="A25" s="10" t="s">
        <v>99</v>
      </c>
      <c r="B25" s="11">
        <v>5631.44</v>
      </c>
      <c r="C25" s="11">
        <v>6479.15</v>
      </c>
      <c r="D25" s="11">
        <v>7867.28</v>
      </c>
      <c r="E25" s="11">
        <v>8623.7199999999993</v>
      </c>
    </row>
    <row r="26" spans="1:5" ht="13.5" customHeight="1" x14ac:dyDescent="0.25">
      <c r="A26" s="12" t="s">
        <v>98</v>
      </c>
      <c r="B26" s="13">
        <v>938.17</v>
      </c>
      <c r="C26" s="13">
        <v>969.3</v>
      </c>
      <c r="D26" s="13">
        <v>1106.48</v>
      </c>
      <c r="E26" s="13">
        <v>1489.51</v>
      </c>
    </row>
    <row r="27" spans="1:5" ht="13.5" customHeight="1" x14ac:dyDescent="0.25">
      <c r="A27" s="4" t="s">
        <v>97</v>
      </c>
      <c r="B27" s="9">
        <v>4569.93</v>
      </c>
      <c r="C27" s="9">
        <v>807.53</v>
      </c>
      <c r="D27" s="9">
        <v>1027.49</v>
      </c>
      <c r="E27" s="9">
        <v>3044.8</v>
      </c>
    </row>
    <row r="28" spans="1:5" ht="13.5" customHeight="1" x14ac:dyDescent="0.25">
      <c r="A28" s="12" t="s">
        <v>100</v>
      </c>
      <c r="B28" s="13">
        <v>6315.42</v>
      </c>
      <c r="C28" s="13">
        <v>6030.58</v>
      </c>
      <c r="D28" s="13">
        <v>5515.77</v>
      </c>
      <c r="E28" s="13">
        <v>4889.51</v>
      </c>
    </row>
    <row r="29" spans="1:5" ht="13.5" customHeight="1" x14ac:dyDescent="0.25">
      <c r="A29" s="4" t="s">
        <v>101</v>
      </c>
      <c r="B29" s="9">
        <v>230.5</v>
      </c>
      <c r="C29" s="9">
        <v>626.29</v>
      </c>
      <c r="D29" s="9">
        <v>252.4</v>
      </c>
      <c r="E29" s="9">
        <v>344.87</v>
      </c>
    </row>
    <row r="31" spans="1:5" ht="13.5" customHeight="1" x14ac:dyDescent="0.25">
      <c r="A31" s="34" t="s">
        <v>155</v>
      </c>
      <c r="B31" s="35"/>
      <c r="C31" s="35"/>
      <c r="D31" s="35"/>
      <c r="E31" s="35"/>
    </row>
    <row r="32" spans="1:5" ht="13.5" customHeight="1" x14ac:dyDescent="0.25">
      <c r="A32" s="12" t="s">
        <v>127</v>
      </c>
      <c r="B32" s="13">
        <v>4806.17</v>
      </c>
      <c r="C32" s="13">
        <v>-4080.06</v>
      </c>
      <c r="D32" s="13">
        <v>2939.27</v>
      </c>
      <c r="E32" s="13">
        <v>1919.9</v>
      </c>
    </row>
    <row r="33" spans="1:5" ht="13.5" customHeight="1" x14ac:dyDescent="0.25">
      <c r="A33" s="4" t="s">
        <v>128</v>
      </c>
      <c r="B33" s="9">
        <v>-1462.83</v>
      </c>
      <c r="C33" s="9">
        <v>1353.66</v>
      </c>
      <c r="D33" s="9">
        <v>-1431.35</v>
      </c>
      <c r="E33" s="9">
        <v>1581.62</v>
      </c>
    </row>
    <row r="34" spans="1:5" ht="13.5" customHeight="1" x14ac:dyDescent="0.25">
      <c r="A34" s="12" t="s">
        <v>129</v>
      </c>
      <c r="B34" s="13">
        <v>-189.36</v>
      </c>
      <c r="C34" s="13">
        <v>-1036.01</v>
      </c>
      <c r="D34" s="13">
        <v>-1286.56</v>
      </c>
      <c r="E34" s="13">
        <v>-1484.17</v>
      </c>
    </row>
    <row r="35" spans="1:5" ht="13.5" customHeight="1" x14ac:dyDescent="0.25">
      <c r="A35" s="4" t="s">
        <v>131</v>
      </c>
      <c r="B35" s="9">
        <v>4569.93</v>
      </c>
      <c r="C35" s="9">
        <v>807.53</v>
      </c>
      <c r="D35" s="9">
        <v>1027.49</v>
      </c>
      <c r="E35" s="9">
        <v>3044.8</v>
      </c>
    </row>
    <row r="37" spans="1:5" ht="15" customHeight="1" x14ac:dyDescent="0.25">
      <c r="A37" s="36" t="s">
        <v>156</v>
      </c>
    </row>
    <row r="39" spans="1:5" ht="13.5" customHeight="1" x14ac:dyDescent="0.25">
      <c r="B39" s="48" t="s">
        <v>2</v>
      </c>
      <c r="C39" s="48"/>
      <c r="D39" s="48"/>
      <c r="E39" s="48"/>
    </row>
  </sheetData>
  <mergeCells count="3">
    <mergeCell ref="A1:E1"/>
    <mergeCell ref="A2:E2"/>
    <mergeCell ref="B39:E39"/>
  </mergeCell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showGridLines="0" topLeftCell="A16" zoomScaleNormal="100" workbookViewId="0">
      <selection activeCell="F7" sqref="F7"/>
    </sheetView>
  </sheetViews>
  <sheetFormatPr defaultColWidth="8.7109375" defaultRowHeight="15" x14ac:dyDescent="0.25"/>
  <cols>
    <col min="1" max="1" width="2" style="1" customWidth="1"/>
    <col min="2" max="2" width="141.28515625" style="1" customWidth="1"/>
    <col min="3" max="3" width="2" style="1" customWidth="1"/>
  </cols>
  <sheetData>
    <row r="1" spans="2:2" ht="21.75" customHeight="1" x14ac:dyDescent="0.25">
      <c r="B1" s="37" t="s">
        <v>199</v>
      </c>
    </row>
    <row r="2" spans="2:2" ht="19.5" customHeight="1" x14ac:dyDescent="0.25">
      <c r="B2" s="38" t="s">
        <v>157</v>
      </c>
    </row>
    <row r="4" spans="2:2" ht="18" customHeight="1" x14ac:dyDescent="0.25">
      <c r="B4" s="39" t="s">
        <v>158</v>
      </c>
    </row>
    <row r="5" spans="2:2" ht="34.5" customHeight="1" x14ac:dyDescent="0.25">
      <c r="B5" s="40" t="s">
        <v>159</v>
      </c>
    </row>
    <row r="6" spans="2:2" ht="34.5" customHeight="1" x14ac:dyDescent="0.25">
      <c r="B6" s="41" t="s">
        <v>160</v>
      </c>
    </row>
    <row r="7" spans="2:2" ht="34.5" customHeight="1" x14ac:dyDescent="0.25">
      <c r="B7" s="40" t="s">
        <v>161</v>
      </c>
    </row>
    <row r="8" spans="2:2" ht="34.5" customHeight="1" x14ac:dyDescent="0.25">
      <c r="B8" s="41" t="s">
        <v>162</v>
      </c>
    </row>
    <row r="10" spans="2:2" ht="18" customHeight="1" x14ac:dyDescent="0.25">
      <c r="B10" s="39" t="s">
        <v>163</v>
      </c>
    </row>
    <row r="11" spans="2:2" ht="34.5" customHeight="1" x14ac:dyDescent="0.25">
      <c r="B11" s="40" t="s">
        <v>164</v>
      </c>
    </row>
    <row r="12" spans="2:2" ht="34.5" customHeight="1" x14ac:dyDescent="0.25">
      <c r="B12" s="41" t="s">
        <v>165</v>
      </c>
    </row>
    <row r="13" spans="2:2" ht="34.5" customHeight="1" x14ac:dyDescent="0.25">
      <c r="B13" s="40" t="s">
        <v>166</v>
      </c>
    </row>
    <row r="14" spans="2:2" ht="34.5" customHeight="1" x14ac:dyDescent="0.25">
      <c r="B14" s="41" t="s">
        <v>167</v>
      </c>
    </row>
    <row r="16" spans="2:2" ht="18" customHeight="1" x14ac:dyDescent="0.25">
      <c r="B16" s="39" t="s">
        <v>168</v>
      </c>
    </row>
    <row r="17" spans="2:2" ht="34.5" customHeight="1" x14ac:dyDescent="0.25">
      <c r="B17" s="40" t="s">
        <v>169</v>
      </c>
    </row>
    <row r="18" spans="2:2" ht="34.5" customHeight="1" x14ac:dyDescent="0.25">
      <c r="B18" s="41" t="s">
        <v>170</v>
      </c>
    </row>
    <row r="19" spans="2:2" ht="34.5" customHeight="1" x14ac:dyDescent="0.25">
      <c r="B19" s="40" t="s">
        <v>171</v>
      </c>
    </row>
    <row r="20" spans="2:2" ht="34.5" customHeight="1" x14ac:dyDescent="0.25">
      <c r="B20" s="41" t="s">
        <v>172</v>
      </c>
    </row>
    <row r="22" spans="2:2" ht="18" customHeight="1" x14ac:dyDescent="0.25">
      <c r="B22" s="39" t="s">
        <v>173</v>
      </c>
    </row>
    <row r="23" spans="2:2" ht="34.5" customHeight="1" x14ac:dyDescent="0.25">
      <c r="B23" s="40" t="s">
        <v>174</v>
      </c>
    </row>
    <row r="24" spans="2:2" ht="34.5" customHeight="1" x14ac:dyDescent="0.25">
      <c r="B24" s="41" t="s">
        <v>175</v>
      </c>
    </row>
    <row r="25" spans="2:2" ht="34.5" customHeight="1" x14ac:dyDescent="0.25">
      <c r="B25" s="40" t="s">
        <v>176</v>
      </c>
    </row>
    <row r="27" spans="2:2" ht="18" customHeight="1" x14ac:dyDescent="0.25">
      <c r="B27" s="39" t="s">
        <v>177</v>
      </c>
    </row>
    <row r="28" spans="2:2" ht="34.5" customHeight="1" x14ac:dyDescent="0.25">
      <c r="B28" s="41" t="s">
        <v>178</v>
      </c>
    </row>
    <row r="29" spans="2:2" ht="34.5" customHeight="1" x14ac:dyDescent="0.25">
      <c r="B29" s="40" t="s">
        <v>179</v>
      </c>
    </row>
    <row r="30" spans="2:2" ht="34.5" customHeight="1" x14ac:dyDescent="0.25">
      <c r="B30" s="41" t="s">
        <v>180</v>
      </c>
    </row>
    <row r="31" spans="2:2" ht="34.5" customHeight="1" x14ac:dyDescent="0.25">
      <c r="B31" s="40" t="s">
        <v>181</v>
      </c>
    </row>
    <row r="33" spans="2:2" ht="18" customHeight="1" x14ac:dyDescent="0.25">
      <c r="B33" s="39" t="s">
        <v>182</v>
      </c>
    </row>
    <row r="34" spans="2:2" ht="34.5" customHeight="1" x14ac:dyDescent="0.25">
      <c r="B34" s="41" t="s">
        <v>183</v>
      </c>
    </row>
    <row r="35" spans="2:2" ht="34.5" customHeight="1" x14ac:dyDescent="0.25">
      <c r="B35" s="40" t="s">
        <v>184</v>
      </c>
    </row>
    <row r="36" spans="2:2" ht="34.5" customHeight="1" x14ac:dyDescent="0.25">
      <c r="B36" s="41" t="s">
        <v>185</v>
      </c>
    </row>
    <row r="37" spans="2:2" ht="34.5" customHeight="1" x14ac:dyDescent="0.25">
      <c r="B37" s="40" t="s">
        <v>186</v>
      </c>
    </row>
    <row r="39" spans="2:2" ht="18" customHeight="1" x14ac:dyDescent="0.25">
      <c r="B39" s="42" t="s">
        <v>200</v>
      </c>
    </row>
    <row r="40" spans="2:2" ht="34.5" customHeight="1" x14ac:dyDescent="0.25">
      <c r="B40" s="43" t="s">
        <v>187</v>
      </c>
    </row>
    <row r="41" spans="2:2" ht="34.5" customHeight="1" x14ac:dyDescent="0.25">
      <c r="B41" s="44" t="s">
        <v>188</v>
      </c>
    </row>
    <row r="42" spans="2:2" ht="34.5" customHeight="1" x14ac:dyDescent="0.25">
      <c r="B42" s="43" t="s">
        <v>189</v>
      </c>
    </row>
    <row r="43" spans="2:2" ht="34.5" customHeight="1" x14ac:dyDescent="0.25">
      <c r="B43" s="44" t="s">
        <v>190</v>
      </c>
    </row>
    <row r="44" spans="2:2" ht="34.5" customHeight="1" x14ac:dyDescent="0.25">
      <c r="B44" s="43" t="s">
        <v>191</v>
      </c>
    </row>
    <row r="46" spans="2:2" ht="13.5" customHeight="1" x14ac:dyDescent="0.25">
      <c r="B46" s="45" t="s">
        <v>2</v>
      </c>
    </row>
  </sheetData>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HOME</vt:lpstr>
      <vt:lpstr>P&amp;L Statement</vt:lpstr>
      <vt:lpstr>Balance Sheet</vt:lpstr>
      <vt:lpstr>Cash Flow</vt:lpstr>
      <vt:lpstr>Raw Data</vt:lpstr>
      <vt:lpstr>Key Insights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AKM</cp:lastModifiedBy>
  <cp:revision>0</cp:revision>
  <dcterms:created xsi:type="dcterms:W3CDTF">2026-03-20T12:48:29Z</dcterms:created>
  <dcterms:modified xsi:type="dcterms:W3CDTF">2026-03-22T14:30:08Z</dcterms:modified>
  <dc:language>en-US</dc:language>
</cp:coreProperties>
</file>