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umptions" sheetId="1" state="visible" r:id="rId3"/>
    <sheet name="Income Statement" sheetId="2" state="visible" r:id="rId4"/>
    <sheet name="Balance Sheet" sheetId="3" state="visible" r:id="rId5"/>
    <sheet name="Cash Flow" sheetId="4" state="visible" r:id="rId6"/>
    <sheet name="Key Ratios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<sst xmlns="http://schemas.openxmlformats.org/spreadsheetml/2006/main" count="150" uniqueCount="124">
  <si>
    <t xml:space="preserve">Rail Vikas Nigam Limited - Model Assumptions</t>
  </si>
  <si>
    <t xml:space="preserve">Units: INR Crore | Source: RVNL Annual Report FY2025</t>
  </si>
  <si>
    <t xml:space="preserve">Particulars</t>
  </si>
  <si>
    <t xml:space="preserve">FY2024A</t>
  </si>
  <si>
    <t xml:space="preserve">FY2025A</t>
  </si>
  <si>
    <t xml:space="preserve">FY2026E</t>
  </si>
  <si>
    <t xml:space="preserve">FY2027E</t>
  </si>
  <si>
    <t xml:space="preserve">Income Statement Assumptions</t>
  </si>
  <si>
    <t xml:space="preserve">Revenue from Operations (INR Cr)</t>
  </si>
  <si>
    <t xml:space="preserve">Revenue Growth %</t>
  </si>
  <si>
    <t xml:space="preserve">Other Income (INR Cr)</t>
  </si>
  <si>
    <t xml:space="preserve">Expenditure on Operations % of Revenue</t>
  </si>
  <si>
    <t xml:space="preserve">Derived from P&amp;L</t>
  </si>
  <si>
    <t xml:space="preserve">Employee Benefit Expense (INR Cr)</t>
  </si>
  <si>
    <t xml:space="preserve">Employee Growth %</t>
  </si>
  <si>
    <t xml:space="preserve">Finance Costs (INR Cr)</t>
  </si>
  <si>
    <t xml:space="preserve">Finance Cost Growth %</t>
  </si>
  <si>
    <t xml:space="preserve">Depreciation (INR Cr)</t>
  </si>
  <si>
    <t xml:space="preserve">Depreciation Growth %</t>
  </si>
  <si>
    <t xml:space="preserve">Other Expenses (INR Cr)</t>
  </si>
  <si>
    <t xml:space="preserve">Other Expenses Growth %</t>
  </si>
  <si>
    <t xml:space="preserve">Effective Tax Rate %</t>
  </si>
  <si>
    <t xml:space="preserve">Balance Sheet / Working Capital Assumptions</t>
  </si>
  <si>
    <t xml:space="preserve">Days Receivable (Trade)</t>
  </si>
  <si>
    <t xml:space="preserve">Capex (INR Cr)</t>
  </si>
  <si>
    <t xml:space="preserve">Long-term Borrowings Repayment (INR Cr)</t>
  </si>
  <si>
    <t xml:space="preserve">Dividend Payout (INR Cr)</t>
  </si>
  <si>
    <t xml:space="preserve">Color Legend:</t>
  </si>
  <si>
    <t xml:space="preserve">Blue = Hardcoded Input</t>
  </si>
  <si>
    <t xml:space="preserve">Black = Formula / Calculated</t>
  </si>
  <si>
    <t xml:space="preserve">Green = Cross-sheet Link</t>
  </si>
  <si>
    <t xml:space="preserve">Rail Vikas Nigam Limited - Income Statement</t>
  </si>
  <si>
    <t xml:space="preserve">Units: INR Crore | Source: Standalone Financial Statements</t>
  </si>
  <si>
    <t xml:space="preserve">Revenue</t>
  </si>
  <si>
    <t xml:space="preserve">Revenue from Operations</t>
  </si>
  <si>
    <t xml:space="preserve">Other Income</t>
  </si>
  <si>
    <t xml:space="preserve">Total Income</t>
  </si>
  <si>
    <t xml:space="preserve">Expenses</t>
  </si>
  <si>
    <t xml:space="preserve">Expenditure on Operations</t>
  </si>
  <si>
    <t xml:space="preserve">Employee Benefits Expense</t>
  </si>
  <si>
    <t xml:space="preserve">Finance Costs</t>
  </si>
  <si>
    <t xml:space="preserve">Depreciation and Amortisation</t>
  </si>
  <si>
    <t xml:space="preserve">Other Expenses</t>
  </si>
  <si>
    <t xml:space="preserve">Total Expenses</t>
  </si>
  <si>
    <t xml:space="preserve">Key Metrics</t>
  </si>
  <si>
    <t xml:space="preserve">EBITDA (PBT + Finance Costs + Dep)</t>
  </si>
  <si>
    <t xml:space="preserve">EBITDA Margin %</t>
  </si>
  <si>
    <t xml:space="preserve">Profit Before Tax (PBT)</t>
  </si>
  <si>
    <t xml:space="preserve">PBT Margin %</t>
  </si>
  <si>
    <t xml:space="preserve">Tax Expense</t>
  </si>
  <si>
    <t xml:space="preserve">Profit After Tax (PAT)</t>
  </si>
  <si>
    <t xml:space="preserve">PAT Margin %</t>
  </si>
  <si>
    <t xml:space="preserve">Other Comprehensive Income (OCI)</t>
  </si>
  <si>
    <t xml:space="preserve">Total Comprehensive Income</t>
  </si>
  <si>
    <t xml:space="preserve">Per Share Data (shares: 2,08,50,20,100)</t>
  </si>
  <si>
    <t xml:space="preserve">EPS - Basic (Rs.)</t>
  </si>
  <si>
    <t xml:space="preserve">DPS - Dividend per Share (Rs.)</t>
  </si>
  <si>
    <t xml:space="preserve">Rail Vikas Nigam Limited - Balance Sheet</t>
  </si>
  <si>
    <t xml:space="preserve">Units: INR Crore | Source: Standalone Balance Sheet as at 31 March 2025</t>
  </si>
  <si>
    <t xml:space="preserve">ASSETS</t>
  </si>
  <si>
    <t xml:space="preserve">Non-Current Assets</t>
  </si>
  <si>
    <t xml:space="preserve">  Property, Plant and Equipment</t>
  </si>
  <si>
    <t xml:space="preserve">  Right-of-Use Assets</t>
  </si>
  <si>
    <t xml:space="preserve">  Investments (Non-Current)</t>
  </si>
  <si>
    <t xml:space="preserve">  Lease Receivables (Non-Current)</t>
  </si>
  <si>
    <t xml:space="preserve">  Other Non-Current Assets</t>
  </si>
  <si>
    <t xml:space="preserve">Total Non-Current Assets</t>
  </si>
  <si>
    <t xml:space="preserve">Current Assets</t>
  </si>
  <si>
    <t xml:space="preserve">  Trade Receivables</t>
  </si>
  <si>
    <t xml:space="preserve">  Cash and Cash Equivalents</t>
  </si>
  <si>
    <t xml:space="preserve">  Other Current Assets (incl. Bank Bal)</t>
  </si>
  <si>
    <t xml:space="preserve">Total Current Assets</t>
  </si>
  <si>
    <t xml:space="preserve">TOTAL ASSETS</t>
  </si>
  <si>
    <t xml:space="preserve">EQUITY AND LIABILITIES</t>
  </si>
  <si>
    <t xml:space="preserve">Equity</t>
  </si>
  <si>
    <t xml:space="preserve">  Share Capital</t>
  </si>
  <si>
    <t xml:space="preserve">  Reserves and Surplus</t>
  </si>
  <si>
    <t xml:space="preserve">Total Equity</t>
  </si>
  <si>
    <t xml:space="preserve">Non-Current Liabilities</t>
  </si>
  <si>
    <t xml:space="preserve">  Long-Term Borrowings (IRFC)</t>
  </si>
  <si>
    <t xml:space="preserve">  Other Non-Current Liabilities</t>
  </si>
  <si>
    <t xml:space="preserve">Total Non-Current Liabilities</t>
  </si>
  <si>
    <t xml:space="preserve">Current Liabilities</t>
  </si>
  <si>
    <t xml:space="preserve">  Current Borrowings</t>
  </si>
  <si>
    <t xml:space="preserve">  Trade Payables</t>
  </si>
  <si>
    <t xml:space="preserve">  Other Current Liabilities</t>
  </si>
  <si>
    <t xml:space="preserve">Total Current Liabilities</t>
  </si>
  <si>
    <t xml:space="preserve">TOTAL EQUITY AND LIABILITIES</t>
  </si>
  <si>
    <t xml:space="preserve">Balance Check (Assets - E&amp;L) - should be zero</t>
  </si>
  <si>
    <t xml:space="preserve">Rail Vikas Nigam Limited - Cash Flow Statement</t>
  </si>
  <si>
    <t xml:space="preserve">Units: INR Crore | Indirect Method</t>
  </si>
  <si>
    <t xml:space="preserve">A. Cash Flow from Operating Activities</t>
  </si>
  <si>
    <t xml:space="preserve">Profit Before Tax</t>
  </si>
  <si>
    <t xml:space="preserve">Add: Depreciation and Amortisation</t>
  </si>
  <si>
    <t xml:space="preserve">Add: Finance Costs</t>
  </si>
  <si>
    <t xml:space="preserve">Less: Interest Income (Other Income)</t>
  </si>
  <si>
    <t xml:space="preserve">Working Capital Changes (Net)</t>
  </si>
  <si>
    <t xml:space="preserve">Less: Income Tax Paid</t>
  </si>
  <si>
    <t xml:space="preserve">Net Cash from Operating Activities (A)</t>
  </si>
  <si>
    <t xml:space="preserve">B. Cash Flow from Investing Activities</t>
  </si>
  <si>
    <t xml:space="preserve">Purchase of Fixed Assets (Capex)</t>
  </si>
  <si>
    <t xml:space="preserve">Investment in Subs / JVs</t>
  </si>
  <si>
    <t xml:space="preserve">Interest and Dividend Received</t>
  </si>
  <si>
    <t xml:space="preserve">Change in Bank Balances (FDs)</t>
  </si>
  <si>
    <t xml:space="preserve">Net Cash from Investing Activities (B)</t>
  </si>
  <si>
    <t xml:space="preserve">C. Cash Flow from Financing Activities</t>
  </si>
  <si>
    <t xml:space="preserve">Repayment of Long-Term Borrowings</t>
  </si>
  <si>
    <t xml:space="preserve">Interest Paid</t>
  </si>
  <si>
    <t xml:space="preserve">Dividend Paid</t>
  </si>
  <si>
    <t xml:space="preserve">Net Cash from Financing Activities (C)</t>
  </si>
  <si>
    <t xml:space="preserve">Net Change in Cash (A+B+C)</t>
  </si>
  <si>
    <t xml:space="preserve">Opening Cash and Cash Equivalents</t>
  </si>
  <si>
    <t xml:space="preserve">Closing Cash and Cash Equivalents</t>
  </si>
  <si>
    <t xml:space="preserve">Rail Vikas Nigam Limited - Key Financial Ratios</t>
  </si>
  <si>
    <t xml:space="preserve">Metric</t>
  </si>
  <si>
    <t xml:space="preserve">Profitability</t>
  </si>
  <si>
    <t xml:space="preserve">-</t>
  </si>
  <si>
    <t xml:space="preserve">Leverage and Solvency</t>
  </si>
  <si>
    <t xml:space="preserve">Debt-to-Equity (x)</t>
  </si>
  <si>
    <t xml:space="preserve">Interest Coverage (x)</t>
  </si>
  <si>
    <t xml:space="preserve">Net Debt (INR Cr)</t>
  </si>
  <si>
    <t xml:space="preserve">Returns</t>
  </si>
  <si>
    <t xml:space="preserve">Return on Equity % (ROE)</t>
  </si>
  <si>
    <t xml:space="preserve">Return on Assets % (ROA)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</si>
</sst>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;\(#,##0.00\);\-"/>
    <numFmt numFmtId="166" formatCode="0.0%;\(0.0%\);\-"/>
    <numFmt numFmtId="167" formatCode="0.00"/>
    <numFmt numFmtId="168" formatCode="0.0\x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FFFFFF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000000"/>
      <name val="Arial"/>
      <family val="0"/>
      <charset val="1"/>
    </font>
    <font>
      <sz val="9"/>
      <color rgb="FF0000FF"/>
      <name val="Arial"/>
      <family val="0"/>
      <charset val="1"/>
    </font>
    <font>
      <i val="true"/>
      <sz val="8"/>
      <color rgb="FF808080"/>
      <name val="Arial"/>
      <family val="0"/>
      <charset val="1"/>
    </font>
    <font>
      <b val="true"/>
      <sz val="9"/>
      <name val="Arial"/>
      <family val="0"/>
      <charset val="1"/>
    </font>
    <font>
      <sz val="9"/>
      <color rgb="FF008000"/>
      <name val="Arial"/>
      <family val="0"/>
      <charset val="1"/>
    </font>
    <font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b val="true"/>
      <sz val="9"/>
      <color rgb="FFFFFFFF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75B6"/>
        <bgColor rgb="FF0066CC"/>
      </patternFill>
    </fill>
    <fill>
      <patternFill patternType="solid">
        <fgColor rgb="FFF2F2F2"/>
        <bgColor rgb="FFFFFFFF"/>
      </patternFill>
    </fill>
    <fill>
      <patternFill patternType="solid">
        <fgColor rgb="FFD6E4F0"/>
        <bgColor rgb="FFF2F2F2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7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3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13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4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5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6"/>
    <col collapsed="false" customWidth="true" hidden="false" outlineLevel="0" max="5" min="2" style="0" width="14"/>
  </cols>
  <sheetData>
    <row r="1" customFormat="false" ht="24" hidden="false" customHeight="true" outlineLevel="0" collapsed="false">
      <c r="A1" s="1" t="s">
        <v>0</v>
      </c>
      <c r="B1" s="1"/>
      <c r="C1" s="1"/>
      <c r="D1" s="1"/>
      <c r="E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</row>
    <row r="4" customFormat="false" ht="18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 customFormat="false" ht="15.75" hidden="false" customHeight="true" outlineLevel="0" collapsed="false">
      <c r="A5" s="4" t="s">
        <v>7</v>
      </c>
      <c r="B5" s="4"/>
      <c r="C5" s="4"/>
      <c r="D5" s="4"/>
      <c r="E5" s="4"/>
    </row>
    <row r="6" customFormat="false" ht="15" hidden="false" customHeight="true" outlineLevel="0" collapsed="false">
      <c r="A6" s="5" t="s">
        <v>8</v>
      </c>
      <c r="B6" s="6" t="n">
        <v>21732.58</v>
      </c>
      <c r="C6" s="6" t="n">
        <v>19869.35</v>
      </c>
      <c r="D6" s="7"/>
      <c r="E6" s="7"/>
    </row>
    <row r="7" customFormat="false" ht="15" hidden="false" customHeight="true" outlineLevel="0" collapsed="false">
      <c r="A7" s="5" t="s">
        <v>9</v>
      </c>
      <c r="B7" s="7"/>
      <c r="C7" s="7"/>
      <c r="D7" s="8" t="n">
        <v>0.05</v>
      </c>
      <c r="E7" s="8" t="n">
        <v>0.08</v>
      </c>
    </row>
    <row r="8" customFormat="false" ht="15" hidden="false" customHeight="true" outlineLevel="0" collapsed="false">
      <c r="A8" s="5" t="s">
        <v>10</v>
      </c>
      <c r="B8" s="6" t="n">
        <v>1182.55</v>
      </c>
      <c r="C8" s="6" t="n">
        <v>1018.89</v>
      </c>
      <c r="D8" s="7"/>
      <c r="E8" s="7"/>
    </row>
    <row r="9" customFormat="false" ht="15" hidden="false" customHeight="true" outlineLevel="0" collapsed="false">
      <c r="A9" s="5" t="s">
        <v>11</v>
      </c>
      <c r="B9" s="9" t="s">
        <v>12</v>
      </c>
      <c r="C9" s="9" t="s">
        <v>12</v>
      </c>
      <c r="D9" s="7"/>
      <c r="E9" s="7"/>
    </row>
    <row r="10" customFormat="false" ht="15" hidden="false" customHeight="true" outlineLevel="0" collapsed="false">
      <c r="A10" s="5" t="s">
        <v>13</v>
      </c>
      <c r="B10" s="6" t="n">
        <v>184.18</v>
      </c>
      <c r="C10" s="6" t="n">
        <v>182.98</v>
      </c>
      <c r="D10" s="7"/>
      <c r="E10" s="7"/>
    </row>
    <row r="11" customFormat="false" ht="15" hidden="false" customHeight="true" outlineLevel="0" collapsed="false">
      <c r="A11" s="5" t="s">
        <v>14</v>
      </c>
      <c r="B11" s="7"/>
      <c r="C11" s="7"/>
      <c r="D11" s="8" t="n">
        <v>0.04</v>
      </c>
      <c r="E11" s="8" t="n">
        <v>0.04</v>
      </c>
    </row>
    <row r="12" customFormat="false" ht="15" hidden="false" customHeight="true" outlineLevel="0" collapsed="false">
      <c r="A12" s="5" t="s">
        <v>15</v>
      </c>
      <c r="B12" s="6" t="n">
        <v>568.49</v>
      </c>
      <c r="C12" s="6" t="n">
        <v>539.51</v>
      </c>
      <c r="D12" s="7"/>
      <c r="E12" s="7"/>
    </row>
    <row r="13" customFormat="false" ht="15" hidden="false" customHeight="true" outlineLevel="0" collapsed="false">
      <c r="A13" s="5" t="s">
        <v>16</v>
      </c>
      <c r="B13" s="7"/>
      <c r="C13" s="7"/>
      <c r="D13" s="8" t="n">
        <v>-0.05</v>
      </c>
      <c r="E13" s="8" t="n">
        <v>-0.05</v>
      </c>
    </row>
    <row r="14" customFormat="false" ht="15" hidden="false" customHeight="true" outlineLevel="0" collapsed="false">
      <c r="A14" s="5" t="s">
        <v>17</v>
      </c>
      <c r="B14" s="6" t="n">
        <v>20.82</v>
      </c>
      <c r="C14" s="6" t="n">
        <v>30.6</v>
      </c>
      <c r="D14" s="7"/>
      <c r="E14" s="7"/>
    </row>
    <row r="15" customFormat="false" ht="15" hidden="false" customHeight="true" outlineLevel="0" collapsed="false">
      <c r="A15" s="5" t="s">
        <v>18</v>
      </c>
      <c r="B15" s="7"/>
      <c r="C15" s="7"/>
      <c r="D15" s="8" t="n">
        <v>0.08</v>
      </c>
      <c r="E15" s="8" t="n">
        <v>0.08</v>
      </c>
    </row>
    <row r="16" customFormat="false" ht="15" hidden="false" customHeight="true" outlineLevel="0" collapsed="false">
      <c r="A16" s="5" t="s">
        <v>19</v>
      </c>
      <c r="B16" s="6" t="n">
        <v>161</v>
      </c>
      <c r="C16" s="6" t="n">
        <v>199.78</v>
      </c>
      <c r="D16" s="7"/>
      <c r="E16" s="7"/>
    </row>
    <row r="17" customFormat="false" ht="15" hidden="false" customHeight="true" outlineLevel="0" collapsed="false">
      <c r="A17" s="5" t="s">
        <v>20</v>
      </c>
      <c r="B17" s="7"/>
      <c r="C17" s="7"/>
      <c r="D17" s="8" t="n">
        <v>0.05</v>
      </c>
      <c r="E17" s="8" t="n">
        <v>0.05</v>
      </c>
    </row>
    <row r="18" customFormat="false" ht="15" hidden="false" customHeight="true" outlineLevel="0" collapsed="false">
      <c r="A18" s="5" t="s">
        <v>21</v>
      </c>
      <c r="B18" s="7"/>
      <c r="C18" s="7"/>
      <c r="D18" s="8" t="n">
        <v>0.233</v>
      </c>
      <c r="E18" s="8" t="n">
        <v>0.233</v>
      </c>
    </row>
    <row r="20" customFormat="false" ht="15" hidden="false" customHeight="false" outlineLevel="0" collapsed="false">
      <c r="A20" s="4" t="s">
        <v>22</v>
      </c>
      <c r="B20" s="4"/>
      <c r="C20" s="4"/>
      <c r="D20" s="4"/>
      <c r="E20" s="4"/>
    </row>
    <row r="21" customFormat="false" ht="15" hidden="false" customHeight="true" outlineLevel="0" collapsed="false">
      <c r="A21" s="5" t="s">
        <v>23</v>
      </c>
      <c r="B21" s="7"/>
      <c r="C21" s="7"/>
      <c r="D21" s="6" t="n">
        <v>27</v>
      </c>
      <c r="E21" s="6" t="n">
        <v>27</v>
      </c>
    </row>
    <row r="22" customFormat="false" ht="15" hidden="false" customHeight="true" outlineLevel="0" collapsed="false">
      <c r="A22" s="5" t="s">
        <v>24</v>
      </c>
      <c r="B22" s="6" t="n">
        <v>116.17</v>
      </c>
      <c r="C22" s="6" t="n">
        <v>431.63</v>
      </c>
      <c r="D22" s="6" t="n">
        <v>250</v>
      </c>
      <c r="E22" s="6" t="n">
        <v>220</v>
      </c>
    </row>
    <row r="23" customFormat="false" ht="15" hidden="false" customHeight="true" outlineLevel="0" collapsed="false">
      <c r="A23" s="5" t="s">
        <v>25</v>
      </c>
      <c r="B23" s="6" t="n">
        <v>377.29</v>
      </c>
      <c r="C23" s="6" t="n">
        <v>472</v>
      </c>
      <c r="D23" s="6" t="n">
        <v>472</v>
      </c>
      <c r="E23" s="6" t="n">
        <v>400</v>
      </c>
    </row>
    <row r="24" customFormat="false" ht="15" hidden="false" customHeight="true" outlineLevel="0" collapsed="false">
      <c r="A24" s="5" t="s">
        <v>26</v>
      </c>
      <c r="B24" s="6" t="n">
        <v>439.94</v>
      </c>
      <c r="C24" s="6" t="n">
        <v>358.62</v>
      </c>
      <c r="D24" s="6" t="n">
        <v>358.62</v>
      </c>
      <c r="E24" s="6" t="n">
        <v>400</v>
      </c>
    </row>
    <row r="27" customFormat="false" ht="15" hidden="false" customHeight="false" outlineLevel="0" collapsed="false">
      <c r="A27" s="10" t="s">
        <v>27</v>
      </c>
    </row>
    <row r="28" customFormat="false" ht="13.5" hidden="false" customHeight="true" outlineLevel="0" collapsed="false">
      <c r="A28" s="11" t="s">
        <v>28</v>
      </c>
    </row>
    <row r="29" customFormat="false" ht="13.5" hidden="false" customHeight="true" outlineLevel="0" collapsed="false">
      <c r="A29" s="12" t="s">
        <v>29</v>
      </c>
    </row>
    <row r="30" customFormat="false" ht="13.5" hidden="false" customHeight="true" outlineLevel="0" collapsed="false">
      <c r="A30" s="13" t="s">
        <v>30</v>
      </c>
    </row>
  </sheetData>
  <mergeCells count="4">
    <mergeCell ref="A1:E1"/>
    <mergeCell ref="A2:E2"/>
    <mergeCell ref="A5:E5"/>
    <mergeCell ref="A20:E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8"/>
    <col collapsed="false" customWidth="true" hidden="false" outlineLevel="0" max="5" min="2" style="0" width="14"/>
  </cols>
  <sheetData>
    <row r="1" customFormat="false" ht="24" hidden="false" customHeight="true" outlineLevel="0" collapsed="false">
      <c r="A1" s="1" t="s">
        <v>31</v>
      </c>
      <c r="B1" s="1"/>
      <c r="C1" s="1"/>
      <c r="D1" s="1"/>
      <c r="E1" s="1"/>
    </row>
    <row r="2" customFormat="false" ht="15" hidden="false" customHeight="false" outlineLevel="0" collapsed="false">
      <c r="A2" s="14" t="s">
        <v>32</v>
      </c>
      <c r="B2" s="14"/>
      <c r="C2" s="14"/>
      <c r="D2" s="14"/>
      <c r="E2" s="14"/>
    </row>
    <row r="4" customFormat="false" ht="18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 customFormat="false" ht="15" hidden="false" customHeight="true" outlineLevel="0" collapsed="false">
      <c r="A5" s="4" t="s">
        <v>33</v>
      </c>
      <c r="B5" s="4"/>
      <c r="C5" s="4"/>
      <c r="D5" s="4"/>
      <c r="E5" s="4"/>
    </row>
    <row r="6" customFormat="false" ht="15" hidden="false" customHeight="true" outlineLevel="0" collapsed="false">
      <c r="A6" s="5" t="s">
        <v>34</v>
      </c>
      <c r="B6" s="15" t="n">
        <f aca="false">Assumptions!B6</f>
        <v>21732.58</v>
      </c>
      <c r="C6" s="15" t="n">
        <f aca="false">Assumptions!C6</f>
        <v>19869.35</v>
      </c>
      <c r="D6" s="16" t="n">
        <f aca="false">C6*(1+Assumptions!D7)</f>
        <v>20862.8175</v>
      </c>
      <c r="E6" s="16" t="n">
        <f aca="false">D6*(1+Assumptions!E7)</f>
        <v>22531.8429</v>
      </c>
    </row>
    <row r="7" customFormat="false" ht="15" hidden="false" customHeight="true" outlineLevel="0" collapsed="false">
      <c r="A7" s="5" t="s">
        <v>35</v>
      </c>
      <c r="B7" s="15" t="n">
        <f aca="false">Assumptions!B8</f>
        <v>1182.55</v>
      </c>
      <c r="C7" s="15" t="n">
        <f aca="false">Assumptions!C8</f>
        <v>1018.89</v>
      </c>
      <c r="D7" s="16" t="n">
        <f aca="false">C7*0.95</f>
        <v>967.9455</v>
      </c>
      <c r="E7" s="16" t="n">
        <f aca="false">D7*0.95</f>
        <v>919.548225</v>
      </c>
    </row>
    <row r="8" customFormat="false" ht="15" hidden="false" customHeight="true" outlineLevel="0" collapsed="false">
      <c r="A8" s="17" t="s">
        <v>36</v>
      </c>
      <c r="B8" s="18" t="n">
        <f aca="false">SUM(B6:B7)</f>
        <v>22915.13</v>
      </c>
      <c r="C8" s="18" t="n">
        <f aca="false">SUM(C6:C7)</f>
        <v>20888.24</v>
      </c>
      <c r="D8" s="18" t="n">
        <f aca="false">SUM(D6:D7)</f>
        <v>21830.763</v>
      </c>
      <c r="E8" s="18" t="n">
        <f aca="false">SUM(E6:E7)</f>
        <v>23451.391125</v>
      </c>
    </row>
    <row r="9" customFormat="false" ht="15" hidden="false" customHeight="true" outlineLevel="0" collapsed="false">
      <c r="A9" s="4" t="s">
        <v>37</v>
      </c>
      <c r="B9" s="4"/>
      <c r="C9" s="4"/>
      <c r="D9" s="4"/>
      <c r="E9" s="4"/>
    </row>
    <row r="10" customFormat="false" ht="15" hidden="false" customHeight="true" outlineLevel="0" collapsed="false">
      <c r="A10" s="5" t="s">
        <v>38</v>
      </c>
      <c r="B10" s="6" t="n">
        <v>20041.24</v>
      </c>
      <c r="C10" s="6" t="n">
        <v>18385.2</v>
      </c>
      <c r="D10" s="16" t="n">
        <f aca="false">D6*(C10/C6)</f>
        <v>19304.46</v>
      </c>
      <c r="E10" s="16" t="n">
        <f aca="false">E6*(C10/C6)</f>
        <v>20848.8168</v>
      </c>
    </row>
    <row r="11" customFormat="false" ht="15" hidden="false" customHeight="true" outlineLevel="0" collapsed="false">
      <c r="A11" s="5" t="s">
        <v>39</v>
      </c>
      <c r="B11" s="15" t="n">
        <f aca="false">Assumptions!B10</f>
        <v>184.18</v>
      </c>
      <c r="C11" s="15" t="n">
        <f aca="false">Assumptions!C10</f>
        <v>182.98</v>
      </c>
      <c r="D11" s="16" t="n">
        <f aca="false">C11*(1+Assumptions!D11)</f>
        <v>190.2992</v>
      </c>
      <c r="E11" s="16" t="n">
        <f aca="false">D11*(1+Assumptions!E11)</f>
        <v>197.911168</v>
      </c>
    </row>
    <row r="12" customFormat="false" ht="15" hidden="false" customHeight="true" outlineLevel="0" collapsed="false">
      <c r="A12" s="5" t="s">
        <v>40</v>
      </c>
      <c r="B12" s="15" t="n">
        <f aca="false">Assumptions!B12</f>
        <v>568.49</v>
      </c>
      <c r="C12" s="15" t="n">
        <f aca="false">Assumptions!C12</f>
        <v>539.51</v>
      </c>
      <c r="D12" s="16" t="n">
        <f aca="false">C12*(1+Assumptions!D13)</f>
        <v>512.5345</v>
      </c>
      <c r="E12" s="16" t="n">
        <f aca="false">D12*(1+Assumptions!E13)</f>
        <v>486.907775</v>
      </c>
    </row>
    <row r="13" customFormat="false" ht="15" hidden="false" customHeight="true" outlineLevel="0" collapsed="false">
      <c r="A13" s="5" t="s">
        <v>41</v>
      </c>
      <c r="B13" s="15" t="n">
        <f aca="false">Assumptions!B14</f>
        <v>20.82</v>
      </c>
      <c r="C13" s="15" t="n">
        <f aca="false">Assumptions!C14</f>
        <v>30.6</v>
      </c>
      <c r="D13" s="16" t="n">
        <f aca="false">C13*(1+Assumptions!D15)</f>
        <v>33.048</v>
      </c>
      <c r="E13" s="16" t="n">
        <f aca="false">D13*(1+Assumptions!E15)</f>
        <v>35.69184</v>
      </c>
    </row>
    <row r="14" customFormat="false" ht="15" hidden="false" customHeight="true" outlineLevel="0" collapsed="false">
      <c r="A14" s="5" t="s">
        <v>42</v>
      </c>
      <c r="B14" s="15" t="n">
        <f aca="false">Assumptions!B16</f>
        <v>161</v>
      </c>
      <c r="C14" s="15" t="n">
        <f aca="false">Assumptions!C16</f>
        <v>199.78</v>
      </c>
      <c r="D14" s="16" t="n">
        <f aca="false">C14*(1+Assumptions!D17)</f>
        <v>209.769</v>
      </c>
      <c r="E14" s="16" t="n">
        <f aca="false">D14*(1+Assumptions!E17)</f>
        <v>220.25745</v>
      </c>
    </row>
    <row r="15" customFormat="false" ht="15" hidden="false" customHeight="true" outlineLevel="0" collapsed="false">
      <c r="A15" s="17" t="s">
        <v>43</v>
      </c>
      <c r="B15" s="18" t="n">
        <f aca="false">SUM(B10:B14)</f>
        <v>20975.73</v>
      </c>
      <c r="C15" s="18" t="n">
        <f aca="false">SUM(C10:C14)</f>
        <v>19338.07</v>
      </c>
      <c r="D15" s="18" t="n">
        <f aca="false">SUM(D10:D14)</f>
        <v>20250.1107</v>
      </c>
      <c r="E15" s="18" t="n">
        <f aca="false">SUM(E10:E14)</f>
        <v>21789.585033</v>
      </c>
    </row>
    <row r="16" customFormat="false" ht="15" hidden="false" customHeight="true" outlineLevel="0" collapsed="false">
      <c r="A16" s="4" t="s">
        <v>44</v>
      </c>
      <c r="B16" s="4"/>
      <c r="C16" s="4"/>
      <c r="D16" s="4"/>
      <c r="E16" s="4"/>
    </row>
    <row r="17" customFormat="false" ht="15" hidden="false" customHeight="true" outlineLevel="0" collapsed="false">
      <c r="A17" s="17" t="s">
        <v>45</v>
      </c>
      <c r="B17" s="19" t="n">
        <f aca="false">B8-B10-B11-B14</f>
        <v>2528.71</v>
      </c>
      <c r="C17" s="19" t="n">
        <f aca="false">C8-C10-C11-C14</f>
        <v>2120.28</v>
      </c>
      <c r="D17" s="19" t="n">
        <f aca="false">D8-D10-D11-D14</f>
        <v>2126.2348</v>
      </c>
      <c r="E17" s="19" t="n">
        <f aca="false">E8-E10-E11-E14</f>
        <v>2184.405707</v>
      </c>
    </row>
    <row r="18" customFormat="false" ht="15" hidden="false" customHeight="true" outlineLevel="0" collapsed="false">
      <c r="A18" s="5" t="s">
        <v>46</v>
      </c>
      <c r="B18" s="20" t="n">
        <f aca="false">B17/B6</f>
        <v>0.116355720305642</v>
      </c>
      <c r="C18" s="20" t="n">
        <f aca="false">C17/C6</f>
        <v>0.10671109019671</v>
      </c>
      <c r="D18" s="20" t="n">
        <f aca="false">D17/D6</f>
        <v>0.101915036164219</v>
      </c>
      <c r="E18" s="20" t="n">
        <f aca="false">E17/E6</f>
        <v>0.0969474941173142</v>
      </c>
    </row>
    <row r="19" customFormat="false" ht="15" hidden="false" customHeight="true" outlineLevel="0" collapsed="false">
      <c r="A19" s="17" t="s">
        <v>47</v>
      </c>
      <c r="B19" s="18" t="n">
        <f aca="false">B8-B15</f>
        <v>1939.4</v>
      </c>
      <c r="C19" s="18" t="n">
        <f aca="false">C8-C15</f>
        <v>1550.17</v>
      </c>
      <c r="D19" s="18" t="n">
        <f aca="false">D8-D15</f>
        <v>1580.6523</v>
      </c>
      <c r="E19" s="18" t="n">
        <f aca="false">E8-E15</f>
        <v>1661.806092</v>
      </c>
    </row>
    <row r="20" customFormat="false" ht="15" hidden="false" customHeight="true" outlineLevel="0" collapsed="false">
      <c r="A20" s="5" t="s">
        <v>48</v>
      </c>
      <c r="B20" s="20" t="n">
        <f aca="false">B19/B6</f>
        <v>0.089239289582737</v>
      </c>
      <c r="C20" s="20" t="n">
        <f aca="false">C19/C6</f>
        <v>0.0780181535883156</v>
      </c>
      <c r="D20" s="20" t="n">
        <f aca="false">D19/D6</f>
        <v>0.0757640860348799</v>
      </c>
      <c r="E20" s="20" t="n">
        <f aca="false">E19/E6</f>
        <v>0.0737536693902652</v>
      </c>
    </row>
    <row r="21" customFormat="false" ht="15" hidden="false" customHeight="true" outlineLevel="0" collapsed="false">
      <c r="A21" s="5" t="s">
        <v>49</v>
      </c>
      <c r="B21" s="6" t="n">
        <v>476.45</v>
      </c>
      <c r="C21" s="6" t="n">
        <v>361.55</v>
      </c>
      <c r="D21" s="16" t="n">
        <f aca="false">D19*Assumptions!D18</f>
        <v>368.2919859</v>
      </c>
      <c r="E21" s="16" t="n">
        <f aca="false">E19*Assumptions!E18</f>
        <v>387.200819435999</v>
      </c>
    </row>
    <row r="22" customFormat="false" ht="15" hidden="false" customHeight="true" outlineLevel="0" collapsed="false">
      <c r="A22" s="17" t="s">
        <v>50</v>
      </c>
      <c r="B22" s="18" t="n">
        <f aca="false">B19-B21</f>
        <v>1462.95</v>
      </c>
      <c r="C22" s="18" t="n">
        <f aca="false">C19-C21</f>
        <v>1188.62</v>
      </c>
      <c r="D22" s="18" t="n">
        <f aca="false">D19-D21</f>
        <v>1212.3603141</v>
      </c>
      <c r="E22" s="18" t="n">
        <f aca="false">E19-E21</f>
        <v>1274.605272564</v>
      </c>
    </row>
    <row r="23" customFormat="false" ht="15" hidden="false" customHeight="true" outlineLevel="0" collapsed="false">
      <c r="A23" s="5" t="s">
        <v>51</v>
      </c>
      <c r="B23" s="20" t="n">
        <f aca="false">B22/B6</f>
        <v>0.067315983652194</v>
      </c>
      <c r="C23" s="20" t="n">
        <f aca="false">C22/C6</f>
        <v>0.0598217858158419</v>
      </c>
      <c r="D23" s="20" t="n">
        <f aca="false">D22/D6</f>
        <v>0.0581110539887529</v>
      </c>
      <c r="E23" s="20" t="n">
        <f aca="false">E22/E6</f>
        <v>0.0565690644223334</v>
      </c>
    </row>
    <row r="24" customFormat="false" ht="15" hidden="false" customHeight="true" outlineLevel="0" collapsed="false">
      <c r="A24" s="5" t="s">
        <v>52</v>
      </c>
      <c r="B24" s="6" t="n">
        <v>0.24</v>
      </c>
      <c r="C24" s="6" t="n">
        <v>7.77</v>
      </c>
      <c r="D24" s="6" t="n">
        <v>5</v>
      </c>
      <c r="E24" s="6" t="n">
        <v>5</v>
      </c>
    </row>
    <row r="25" customFormat="false" ht="15" hidden="false" customHeight="true" outlineLevel="0" collapsed="false">
      <c r="A25" s="17" t="s">
        <v>53</v>
      </c>
      <c r="B25" s="18" t="n">
        <f aca="false">B22+B24</f>
        <v>1463.19</v>
      </c>
      <c r="C25" s="18" t="n">
        <f aca="false">C22+C24</f>
        <v>1196.39</v>
      </c>
      <c r="D25" s="18" t="n">
        <f aca="false">D22+D24</f>
        <v>1217.3603141</v>
      </c>
      <c r="E25" s="18" t="n">
        <f aca="false">E22+E24</f>
        <v>1279.605272564</v>
      </c>
    </row>
    <row r="26" customFormat="false" ht="15" hidden="false" customHeight="true" outlineLevel="0" collapsed="false">
      <c r="A26" s="4" t="s">
        <v>54</v>
      </c>
      <c r="B26" s="4"/>
      <c r="C26" s="4"/>
      <c r="D26" s="4"/>
      <c r="E26" s="4"/>
    </row>
    <row r="27" customFormat="false" ht="15" hidden="false" customHeight="true" outlineLevel="0" collapsed="false">
      <c r="A27" s="5" t="s">
        <v>55</v>
      </c>
      <c r="B27" s="21" t="n">
        <v>7.01647912171207</v>
      </c>
      <c r="C27" s="21" t="n">
        <v>5.70076039075115</v>
      </c>
      <c r="D27" s="22" t="n">
        <f aca="false">D22*10000000/2085020100</f>
        <v>5.81462171084105</v>
      </c>
      <c r="E27" s="22" t="n">
        <f aca="false">E22*10000000/2085020100</f>
        <v>6.11315580393684</v>
      </c>
    </row>
    <row r="28" customFormat="false" ht="15" hidden="false" customHeight="true" outlineLevel="0" collapsed="false">
      <c r="A28" s="5" t="s">
        <v>56</v>
      </c>
      <c r="B28" s="21" t="n">
        <v>2.11</v>
      </c>
      <c r="C28" s="21" t="n">
        <v>1.72</v>
      </c>
      <c r="D28" s="21" t="n">
        <v>1.72</v>
      </c>
      <c r="E28" s="21" t="n">
        <v>1.92</v>
      </c>
    </row>
  </sheetData>
  <mergeCells count="6">
    <mergeCell ref="A1:E1"/>
    <mergeCell ref="A2:E2"/>
    <mergeCell ref="A5:E5"/>
    <mergeCell ref="A9:E9"/>
    <mergeCell ref="A16:E16"/>
    <mergeCell ref="A26:E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8"/>
    <col collapsed="false" customWidth="true" hidden="false" outlineLevel="0" max="5" min="2" style="0" width="14"/>
  </cols>
  <sheetData>
    <row r="1" customFormat="false" ht="24" hidden="false" customHeight="true" outlineLevel="0" collapsed="false">
      <c r="A1" s="1" t="s">
        <v>57</v>
      </c>
      <c r="B1" s="1"/>
      <c r="C1" s="1"/>
      <c r="D1" s="1"/>
      <c r="E1" s="1"/>
    </row>
    <row r="2" customFormat="false" ht="15" hidden="false" customHeight="false" outlineLevel="0" collapsed="false">
      <c r="A2" s="14" t="s">
        <v>58</v>
      </c>
      <c r="B2" s="14"/>
      <c r="C2" s="14"/>
      <c r="D2" s="14"/>
      <c r="E2" s="14"/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 customFormat="false" ht="15" hidden="false" customHeight="true" outlineLevel="0" collapsed="false">
      <c r="A5" s="4" t="s">
        <v>59</v>
      </c>
      <c r="B5" s="4"/>
      <c r="C5" s="4"/>
      <c r="D5" s="4"/>
      <c r="E5" s="4"/>
    </row>
    <row r="6" customFormat="false" ht="15" hidden="false" customHeight="true" outlineLevel="0" collapsed="false">
      <c r="A6" s="23" t="s">
        <v>60</v>
      </c>
      <c r="B6" s="23"/>
      <c r="C6" s="23"/>
      <c r="D6" s="23"/>
      <c r="E6" s="23"/>
    </row>
    <row r="7" customFormat="false" ht="15" hidden="false" customHeight="true" outlineLevel="0" collapsed="false">
      <c r="A7" s="24" t="s">
        <v>61</v>
      </c>
      <c r="B7" s="6" t="n">
        <v>28.62</v>
      </c>
      <c r="C7" s="6" t="n">
        <v>537.21</v>
      </c>
      <c r="D7" s="16" t="n">
        <f aca="false">C7+Assumptions!D23-'Income Statement'!D13</f>
        <v>976.162</v>
      </c>
      <c r="E7" s="16" t="n">
        <f aca="false">D7+Assumptions!E23-'Income Statement'!E13</f>
        <v>1340.47016</v>
      </c>
    </row>
    <row r="8" customFormat="false" ht="15" hidden="false" customHeight="true" outlineLevel="0" collapsed="false">
      <c r="A8" s="24" t="s">
        <v>62</v>
      </c>
      <c r="B8" s="6" t="n">
        <v>328.88</v>
      </c>
      <c r="C8" s="6" t="n">
        <v>346.13</v>
      </c>
      <c r="D8" s="6" t="n">
        <v>330</v>
      </c>
      <c r="E8" s="6" t="n">
        <v>315</v>
      </c>
    </row>
    <row r="9" customFormat="false" ht="15" hidden="false" customHeight="true" outlineLevel="0" collapsed="false">
      <c r="A9" s="24" t="s">
        <v>63</v>
      </c>
      <c r="B9" s="6" t="n">
        <v>1610.75</v>
      </c>
      <c r="C9" s="6" t="n">
        <v>1764.13</v>
      </c>
      <c r="D9" s="6" t="n">
        <v>1900</v>
      </c>
      <c r="E9" s="6" t="n">
        <v>2000</v>
      </c>
    </row>
    <row r="10" customFormat="false" ht="15" hidden="false" customHeight="true" outlineLevel="0" collapsed="false">
      <c r="A10" s="24" t="s">
        <v>64</v>
      </c>
      <c r="B10" s="6" t="n">
        <v>4492.36</v>
      </c>
      <c r="C10" s="6" t="n">
        <v>3992.85</v>
      </c>
      <c r="D10" s="6" t="n">
        <v>3500</v>
      </c>
      <c r="E10" s="6" t="n">
        <v>3000</v>
      </c>
    </row>
    <row r="11" customFormat="false" ht="15" hidden="false" customHeight="true" outlineLevel="0" collapsed="false">
      <c r="A11" s="24" t="s">
        <v>65</v>
      </c>
      <c r="B11" s="6" t="n">
        <v>2512.32</v>
      </c>
      <c r="C11" s="6" t="n">
        <v>1375.37</v>
      </c>
      <c r="D11" s="6" t="n">
        <v>1300</v>
      </c>
      <c r="E11" s="6" t="n">
        <v>1250</v>
      </c>
    </row>
    <row r="12" customFormat="false" ht="15" hidden="false" customHeight="true" outlineLevel="0" collapsed="false">
      <c r="A12" s="17" t="s">
        <v>66</v>
      </c>
      <c r="B12" s="18" t="n">
        <f aca="false">SUM(B7:B11)</f>
        <v>8972.93</v>
      </c>
      <c r="C12" s="18" t="n">
        <f aca="false">SUM(C7:C11)</f>
        <v>8015.69</v>
      </c>
      <c r="D12" s="18" t="n">
        <f aca="false">SUM(D7:D11)</f>
        <v>8006.162</v>
      </c>
      <c r="E12" s="18" t="n">
        <f aca="false">SUM(E7:E11)</f>
        <v>7905.47016</v>
      </c>
    </row>
    <row r="13" customFormat="false" ht="15" hidden="false" customHeight="true" outlineLevel="0" collapsed="false">
      <c r="A13" s="25" t="s">
        <v>67</v>
      </c>
      <c r="B13" s="25"/>
      <c r="C13" s="25"/>
      <c r="D13" s="25"/>
      <c r="E13" s="25"/>
    </row>
    <row r="14" customFormat="false" ht="15" hidden="false" customHeight="true" outlineLevel="0" collapsed="false">
      <c r="A14" s="24" t="s">
        <v>68</v>
      </c>
      <c r="B14" s="6" t="n">
        <v>1106.48</v>
      </c>
      <c r="C14" s="6" t="n">
        <v>1489.51</v>
      </c>
      <c r="D14" s="16" t="n">
        <f aca="false">'Income Statement'!D6/365*Assumptions!D22</f>
        <v>14289.6010273973</v>
      </c>
      <c r="E14" s="16" t="n">
        <f aca="false">'Income Statement'!E6/365*Assumptions!E22</f>
        <v>13580.8368164384</v>
      </c>
    </row>
    <row r="15" customFormat="false" ht="15" hidden="false" customHeight="true" outlineLevel="0" collapsed="false">
      <c r="A15" s="24" t="s">
        <v>69</v>
      </c>
      <c r="B15" s="6" t="n">
        <v>1027.49</v>
      </c>
      <c r="C15" s="6" t="n">
        <v>3044.8</v>
      </c>
      <c r="D15" s="15" t="n">
        <f aca="false">'Cash Flow'!D25</f>
        <v>0</v>
      </c>
      <c r="E15" s="15" t="n">
        <f aca="false">'Cash Flow'!E25</f>
        <v>0</v>
      </c>
    </row>
    <row r="16" customFormat="false" ht="15" hidden="false" customHeight="true" outlineLevel="0" collapsed="false">
      <c r="A16" s="24" t="s">
        <v>70</v>
      </c>
      <c r="B16" s="6" t="n">
        <v>7532.63</v>
      </c>
      <c r="C16" s="6" t="n">
        <v>6938.19</v>
      </c>
      <c r="D16" s="6" t="n">
        <v>6600</v>
      </c>
      <c r="E16" s="6" t="n">
        <v>6300</v>
      </c>
    </row>
    <row r="17" customFormat="false" ht="15" hidden="false" customHeight="true" outlineLevel="0" collapsed="false">
      <c r="A17" s="17" t="s">
        <v>71</v>
      </c>
      <c r="B17" s="18" t="n">
        <f aca="false">SUM(B14:B16)</f>
        <v>9666.6</v>
      </c>
      <c r="C17" s="18" t="n">
        <f aca="false">SUM(C14:C16)</f>
        <v>11472.5</v>
      </c>
      <c r="D17" s="18" t="n">
        <f aca="false">SUM(D14:D16)</f>
        <v>20889.6010273973</v>
      </c>
      <c r="E17" s="18" t="n">
        <f aca="false">SUM(E14:E16)</f>
        <v>19880.8368164384</v>
      </c>
    </row>
    <row r="18" customFormat="false" ht="15" hidden="false" customHeight="true" outlineLevel="0" collapsed="false">
      <c r="A18" s="17" t="s">
        <v>72</v>
      </c>
      <c r="B18" s="26" t="n">
        <f aca="false">B12+B17</f>
        <v>18639.53</v>
      </c>
      <c r="C18" s="26" t="n">
        <f aca="false">C12+C17</f>
        <v>19488.19</v>
      </c>
      <c r="D18" s="26" t="n">
        <f aca="false">D12+D17</f>
        <v>28895.7630273973</v>
      </c>
      <c r="E18" s="26" t="n">
        <f aca="false">E12+E17</f>
        <v>27786.3069764384</v>
      </c>
    </row>
    <row r="19" customFormat="false" ht="15" hidden="false" customHeight="true" outlineLevel="0" collapsed="false">
      <c r="A19" s="4" t="s">
        <v>73</v>
      </c>
      <c r="B19" s="4"/>
      <c r="C19" s="4"/>
      <c r="D19" s="4"/>
      <c r="E19" s="4"/>
    </row>
    <row r="20" customFormat="false" ht="15" hidden="false" customHeight="true" outlineLevel="0" collapsed="false">
      <c r="A20" s="25" t="s">
        <v>74</v>
      </c>
      <c r="B20" s="25"/>
      <c r="C20" s="25"/>
      <c r="D20" s="25"/>
      <c r="E20" s="25"/>
    </row>
    <row r="21" customFormat="false" ht="15" hidden="false" customHeight="true" outlineLevel="0" collapsed="false">
      <c r="A21" s="24" t="s">
        <v>75</v>
      </c>
      <c r="B21" s="6" t="n">
        <v>2085.02</v>
      </c>
      <c r="C21" s="6" t="n">
        <v>2085.02</v>
      </c>
      <c r="D21" s="6" t="n">
        <v>2085.02</v>
      </c>
      <c r="E21" s="6" t="n">
        <v>2085.02</v>
      </c>
    </row>
    <row r="22" customFormat="false" ht="15" hidden="false" customHeight="true" outlineLevel="0" collapsed="false">
      <c r="A22" s="24" t="s">
        <v>76</v>
      </c>
      <c r="B22" s="6" t="n">
        <v>5782.26</v>
      </c>
      <c r="C22" s="6" t="n">
        <v>6538.7</v>
      </c>
      <c r="D22" s="16" t="n">
        <f aca="false">C22+'Income Statement'!D22+'Income Statement'!D24-Assumptions!D25</f>
        <v>7756.0603141</v>
      </c>
      <c r="E22" s="16" t="n">
        <f aca="false">D22+'Income Statement'!E22+'Income Statement'!E24-Assumptions!E25</f>
        <v>9035.66558666399</v>
      </c>
    </row>
    <row r="23" customFormat="false" ht="15" hidden="false" customHeight="true" outlineLevel="0" collapsed="false">
      <c r="A23" s="17" t="s">
        <v>77</v>
      </c>
      <c r="B23" s="18" t="n">
        <f aca="false">B21+B22</f>
        <v>7867.28</v>
      </c>
      <c r="C23" s="18" t="n">
        <f aca="false">C21+C22</f>
        <v>8623.72</v>
      </c>
      <c r="D23" s="18" t="n">
        <f aca="false">D21+D22</f>
        <v>9841.0803141</v>
      </c>
      <c r="E23" s="18" t="n">
        <f aca="false">E21+E22</f>
        <v>11120.685586664</v>
      </c>
    </row>
    <row r="24" customFormat="false" ht="15" hidden="false" customHeight="true" outlineLevel="0" collapsed="false">
      <c r="A24" s="25" t="s">
        <v>78</v>
      </c>
      <c r="B24" s="25"/>
      <c r="C24" s="25"/>
      <c r="D24" s="25"/>
      <c r="E24" s="25"/>
    </row>
    <row r="25" customFormat="false" ht="15" hidden="false" customHeight="true" outlineLevel="0" collapsed="false">
      <c r="A25" s="24" t="s">
        <v>79</v>
      </c>
      <c r="B25" s="6" t="n">
        <v>5515.77</v>
      </c>
      <c r="C25" s="6" t="n">
        <v>4889.51</v>
      </c>
      <c r="D25" s="16" t="n">
        <f aca="false">C25-Assumptions!D24</f>
        <v>4530.89</v>
      </c>
      <c r="E25" s="16" t="n">
        <f aca="false">D25-Assumptions!E24</f>
        <v>4130.89</v>
      </c>
    </row>
    <row r="26" customFormat="false" ht="15" hidden="false" customHeight="true" outlineLevel="0" collapsed="false">
      <c r="A26" s="24" t="s">
        <v>80</v>
      </c>
      <c r="B26" s="6" t="n">
        <v>769.31</v>
      </c>
      <c r="C26" s="6" t="n">
        <v>362.99</v>
      </c>
      <c r="D26" s="6" t="n">
        <v>340</v>
      </c>
      <c r="E26" s="6" t="n">
        <v>320</v>
      </c>
    </row>
    <row r="27" customFormat="false" ht="15" hidden="false" customHeight="true" outlineLevel="0" collapsed="false">
      <c r="A27" s="17" t="s">
        <v>81</v>
      </c>
      <c r="B27" s="18" t="n">
        <f aca="false">B25+B26</f>
        <v>6285.08</v>
      </c>
      <c r="C27" s="18" t="n">
        <f aca="false">C25+C26</f>
        <v>5252.5</v>
      </c>
      <c r="D27" s="18" t="n">
        <f aca="false">D25+D26</f>
        <v>4870.89</v>
      </c>
      <c r="E27" s="18" t="n">
        <f aca="false">E25+E26</f>
        <v>4450.89</v>
      </c>
    </row>
    <row r="28" customFormat="false" ht="15" hidden="false" customHeight="true" outlineLevel="0" collapsed="false">
      <c r="A28" s="25" t="s">
        <v>82</v>
      </c>
      <c r="B28" s="25"/>
      <c r="C28" s="25"/>
      <c r="D28" s="25"/>
      <c r="E28" s="25"/>
    </row>
    <row r="29" customFormat="false" ht="15" hidden="false" customHeight="true" outlineLevel="0" collapsed="false">
      <c r="A29" s="24" t="s">
        <v>83</v>
      </c>
      <c r="B29" s="6" t="n">
        <v>472</v>
      </c>
      <c r="C29" s="6" t="n">
        <v>499.51</v>
      </c>
      <c r="D29" s="6" t="n">
        <v>472</v>
      </c>
      <c r="E29" s="6" t="n">
        <v>400</v>
      </c>
    </row>
    <row r="30" customFormat="false" ht="15" hidden="false" customHeight="true" outlineLevel="0" collapsed="false">
      <c r="A30" s="24" t="s">
        <v>84</v>
      </c>
      <c r="B30" s="6" t="n">
        <v>252.4</v>
      </c>
      <c r="C30" s="6" t="n">
        <v>344.87</v>
      </c>
      <c r="D30" s="6" t="n">
        <v>360</v>
      </c>
      <c r="E30" s="6" t="n">
        <v>375</v>
      </c>
    </row>
    <row r="31" customFormat="false" ht="15" hidden="false" customHeight="true" outlineLevel="0" collapsed="false">
      <c r="A31" s="24" t="s">
        <v>85</v>
      </c>
      <c r="B31" s="6" t="n">
        <v>3858.1</v>
      </c>
      <c r="C31" s="6" t="n">
        <v>4763.61</v>
      </c>
      <c r="D31" s="6" t="n">
        <v>4800</v>
      </c>
      <c r="E31" s="6" t="n">
        <v>4850</v>
      </c>
    </row>
    <row r="32" customFormat="false" ht="15" hidden="false" customHeight="true" outlineLevel="0" collapsed="false">
      <c r="A32" s="17" t="s">
        <v>86</v>
      </c>
      <c r="B32" s="18" t="n">
        <f aca="false">SUM(B29:B31)</f>
        <v>4582.5</v>
      </c>
      <c r="C32" s="18" t="n">
        <f aca="false">SUM(C29:C31)</f>
        <v>5607.99</v>
      </c>
      <c r="D32" s="18" t="n">
        <f aca="false">SUM(D29:D31)</f>
        <v>5632</v>
      </c>
      <c r="E32" s="18" t="n">
        <f aca="false">SUM(E29:E31)</f>
        <v>5625</v>
      </c>
    </row>
    <row r="33" customFormat="false" ht="15" hidden="false" customHeight="true" outlineLevel="0" collapsed="false">
      <c r="A33" s="17" t="s">
        <v>87</v>
      </c>
      <c r="B33" s="27" t="n">
        <f aca="false">B23+B27+B32</f>
        <v>18734.86</v>
      </c>
      <c r="C33" s="27" t="n">
        <f aca="false">C23+C27+C32</f>
        <v>19484.21</v>
      </c>
      <c r="D33" s="27" t="n">
        <f aca="false">D23+D27+D32</f>
        <v>20343.9703141</v>
      </c>
      <c r="E33" s="27" t="n">
        <f aca="false">E23+E27+E32</f>
        <v>21196.575586664</v>
      </c>
    </row>
    <row r="34" customFormat="false" ht="15" hidden="false" customHeight="true" outlineLevel="0" collapsed="false">
      <c r="A34" s="5" t="s">
        <v>88</v>
      </c>
      <c r="B34" s="28" t="n">
        <f aca="false">B18-B33</f>
        <v>-95.3300000000018</v>
      </c>
      <c r="C34" s="28" t="n">
        <f aca="false">C18-C33</f>
        <v>3.97999999999956</v>
      </c>
      <c r="D34" s="28" t="n">
        <f aca="false">D18-D33</f>
        <v>8551.79271329726</v>
      </c>
      <c r="E34" s="28" t="n">
        <f aca="false">E18-E33</f>
        <v>6589.73138977436</v>
      </c>
    </row>
  </sheetData>
  <mergeCells count="9">
    <mergeCell ref="A1:E1"/>
    <mergeCell ref="A2:E2"/>
    <mergeCell ref="A5:E5"/>
    <mergeCell ref="A6:E6"/>
    <mergeCell ref="A13:E13"/>
    <mergeCell ref="A19:E19"/>
    <mergeCell ref="A20:E20"/>
    <mergeCell ref="A24:E24"/>
    <mergeCell ref="A28:E2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5" min="2" style="0" width="14"/>
  </cols>
  <sheetData>
    <row r="1" customFormat="false" ht="24" hidden="false" customHeight="true" outlineLevel="0" collapsed="false">
      <c r="A1" s="1" t="s">
        <v>89</v>
      </c>
      <c r="B1" s="1"/>
      <c r="C1" s="1"/>
      <c r="D1" s="1"/>
      <c r="E1" s="1"/>
    </row>
    <row r="2" customFormat="false" ht="15" hidden="false" customHeight="false" outlineLevel="0" collapsed="false">
      <c r="A2" s="14" t="s">
        <v>90</v>
      </c>
      <c r="B2" s="14"/>
      <c r="C2" s="14"/>
      <c r="D2" s="14"/>
      <c r="E2" s="14"/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 customFormat="false" ht="15" hidden="false" customHeight="true" outlineLevel="0" collapsed="false">
      <c r="A5" s="4" t="s">
        <v>91</v>
      </c>
      <c r="B5" s="4"/>
      <c r="C5" s="4"/>
      <c r="D5" s="4"/>
      <c r="E5" s="4"/>
    </row>
    <row r="6" customFormat="false" ht="15" hidden="false" customHeight="true" outlineLevel="0" collapsed="false">
      <c r="A6" s="5" t="s">
        <v>92</v>
      </c>
      <c r="B6" s="15" t="n">
        <f aca="false">'Income Statement'!B19</f>
        <v>1939.4</v>
      </c>
      <c r="C6" s="15" t="n">
        <f aca="false">'Income Statement'!C19</f>
        <v>1550.17</v>
      </c>
      <c r="D6" s="15" t="n">
        <f aca="false">'Income Statement'!D19</f>
        <v>1580.6523</v>
      </c>
      <c r="E6" s="15" t="n">
        <f aca="false">'Income Statement'!E19</f>
        <v>1661.806092</v>
      </c>
    </row>
    <row r="7" customFormat="false" ht="15" hidden="false" customHeight="true" outlineLevel="0" collapsed="false">
      <c r="A7" s="5" t="s">
        <v>93</v>
      </c>
      <c r="B7" s="15" t="n">
        <f aca="false">'Income Statement'!B13</f>
        <v>20.82</v>
      </c>
      <c r="C7" s="15" t="n">
        <f aca="false">'Income Statement'!C13</f>
        <v>30.6</v>
      </c>
      <c r="D7" s="15" t="n">
        <f aca="false">'Income Statement'!D13</f>
        <v>33.048</v>
      </c>
      <c r="E7" s="15" t="n">
        <f aca="false">'Income Statement'!E13</f>
        <v>35.69184</v>
      </c>
    </row>
    <row r="8" customFormat="false" ht="15" hidden="false" customHeight="true" outlineLevel="0" collapsed="false">
      <c r="A8" s="5" t="s">
        <v>94</v>
      </c>
      <c r="B8" s="15" t="n">
        <f aca="false">'Income Statement'!B12</f>
        <v>568.49</v>
      </c>
      <c r="C8" s="15" t="n">
        <f aca="false">'Income Statement'!C12</f>
        <v>539.51</v>
      </c>
      <c r="D8" s="15" t="n">
        <f aca="false">'Income Statement'!D12</f>
        <v>512.5345</v>
      </c>
      <c r="E8" s="15" t="n">
        <f aca="false">'Income Statement'!E12</f>
        <v>486.907775</v>
      </c>
    </row>
    <row r="9" customFormat="false" ht="15" hidden="false" customHeight="true" outlineLevel="0" collapsed="false">
      <c r="A9" s="5" t="s">
        <v>95</v>
      </c>
      <c r="B9" s="6" t="n">
        <v>-1063.32</v>
      </c>
      <c r="C9" s="6" t="n">
        <v>-874.53</v>
      </c>
      <c r="D9" s="6" t="n">
        <v>-850</v>
      </c>
      <c r="E9" s="6" t="n">
        <v>-830</v>
      </c>
    </row>
    <row r="10" customFormat="false" ht="15" hidden="false" customHeight="true" outlineLevel="0" collapsed="false">
      <c r="A10" s="5" t="s">
        <v>96</v>
      </c>
      <c r="B10" s="6" t="n">
        <v>2021.7</v>
      </c>
      <c r="C10" s="6" t="n">
        <v>1195.85</v>
      </c>
      <c r="D10" s="6" t="n">
        <v>-200</v>
      </c>
      <c r="E10" s="6" t="n">
        <v>-100</v>
      </c>
    </row>
    <row r="11" customFormat="false" ht="15" hidden="false" customHeight="true" outlineLevel="0" collapsed="false">
      <c r="A11" s="5" t="s">
        <v>97</v>
      </c>
      <c r="B11" s="6" t="n">
        <v>-453.73</v>
      </c>
      <c r="C11" s="6" t="n">
        <v>-462.66</v>
      </c>
      <c r="D11" s="6" t="n">
        <v>-380</v>
      </c>
      <c r="E11" s="6" t="n">
        <v>-360</v>
      </c>
    </row>
    <row r="12" customFormat="false" ht="15" hidden="false" customHeight="true" outlineLevel="0" collapsed="false">
      <c r="A12" s="17" t="s">
        <v>98</v>
      </c>
      <c r="B12" s="18" t="n">
        <f aca="false">SUM(B6:B11)</f>
        <v>3033.36</v>
      </c>
      <c r="C12" s="18" t="n">
        <f aca="false">SUM(C6:C11)</f>
        <v>1978.94</v>
      </c>
      <c r="D12" s="18" t="n">
        <f aca="false">SUM(D6:D11)</f>
        <v>696.234799999998</v>
      </c>
      <c r="E12" s="18" t="n">
        <f aca="false">SUM(E6:E11)</f>
        <v>894.405706999995</v>
      </c>
    </row>
    <row r="13" customFormat="false" ht="15" hidden="false" customHeight="true" outlineLevel="0" collapsed="false">
      <c r="A13" s="4" t="s">
        <v>99</v>
      </c>
      <c r="B13" s="4"/>
      <c r="C13" s="4"/>
      <c r="D13" s="4"/>
      <c r="E13" s="4"/>
    </row>
    <row r="14" customFormat="false" ht="15" hidden="false" customHeight="true" outlineLevel="0" collapsed="false">
      <c r="A14" s="5" t="s">
        <v>100</v>
      </c>
      <c r="B14" s="15" t="n">
        <f aca="false">-Assumptions!B23</f>
        <v>-377.29</v>
      </c>
      <c r="C14" s="15" t="n">
        <f aca="false">-Assumptions!C23</f>
        <v>-472</v>
      </c>
      <c r="D14" s="15" t="n">
        <f aca="false">-Assumptions!D23</f>
        <v>-472</v>
      </c>
      <c r="E14" s="15" t="n">
        <f aca="false">-Assumptions!E23</f>
        <v>-400</v>
      </c>
    </row>
    <row r="15" customFormat="false" ht="15" hidden="false" customHeight="true" outlineLevel="0" collapsed="false">
      <c r="A15" s="5" t="s">
        <v>101</v>
      </c>
      <c r="B15" s="6" t="n">
        <v>-424.12</v>
      </c>
      <c r="C15" s="6" t="n">
        <v>-143.65</v>
      </c>
      <c r="D15" s="6" t="n">
        <v>-150</v>
      </c>
      <c r="E15" s="6" t="n">
        <v>-150</v>
      </c>
    </row>
    <row r="16" customFormat="false" ht="15" hidden="false" customHeight="true" outlineLevel="0" collapsed="false">
      <c r="A16" s="5" t="s">
        <v>102</v>
      </c>
      <c r="B16" s="6" t="n">
        <v>310.97</v>
      </c>
      <c r="C16" s="6" t="n">
        <v>905.32</v>
      </c>
      <c r="D16" s="6" t="n">
        <v>870</v>
      </c>
      <c r="E16" s="6" t="n">
        <v>850</v>
      </c>
    </row>
    <row r="17" customFormat="false" ht="15" hidden="false" customHeight="true" outlineLevel="0" collapsed="false">
      <c r="A17" s="5" t="s">
        <v>103</v>
      </c>
      <c r="B17" s="6" t="n">
        <v>-967.7</v>
      </c>
      <c r="C17" s="6" t="n">
        <v>1251.2</v>
      </c>
      <c r="D17" s="6" t="n">
        <v>-200</v>
      </c>
      <c r="E17" s="6" t="n">
        <v>-100</v>
      </c>
    </row>
    <row r="18" customFormat="false" ht="15" hidden="false" customHeight="true" outlineLevel="0" collapsed="false">
      <c r="A18" s="17" t="s">
        <v>104</v>
      </c>
      <c r="B18" s="18" t="n">
        <f aca="false">SUM(B14:B17)</f>
        <v>-1458.14</v>
      </c>
      <c r="C18" s="18" t="n">
        <f aca="false">SUM(C14:C17)</f>
        <v>1540.87</v>
      </c>
      <c r="D18" s="18" t="n">
        <f aca="false">SUM(D14:D17)</f>
        <v>48</v>
      </c>
      <c r="E18" s="18" t="n">
        <f aca="false">SUM(E14:E17)</f>
        <v>200</v>
      </c>
    </row>
    <row r="19" customFormat="false" ht="15" hidden="false" customHeight="true" outlineLevel="0" collapsed="false">
      <c r="A19" s="4" t="s">
        <v>105</v>
      </c>
      <c r="B19" s="4"/>
      <c r="C19" s="4"/>
      <c r="D19" s="4"/>
      <c r="E19" s="4"/>
    </row>
    <row r="20" customFormat="false" ht="15" hidden="false" customHeight="true" outlineLevel="0" collapsed="false">
      <c r="A20" s="5" t="s">
        <v>106</v>
      </c>
      <c r="B20" s="15" t="n">
        <f aca="false">-Assumptions!B24</f>
        <v>-439.94</v>
      </c>
      <c r="C20" s="15" t="n">
        <f aca="false">-Assumptions!C24</f>
        <v>-358.62</v>
      </c>
      <c r="D20" s="15" t="n">
        <f aca="false">-Assumptions!D24</f>
        <v>-358.62</v>
      </c>
      <c r="E20" s="15" t="n">
        <f aca="false">-Assumptions!E24</f>
        <v>-400</v>
      </c>
    </row>
    <row r="21" customFormat="false" ht="15" hidden="false" customHeight="true" outlineLevel="0" collapsed="false">
      <c r="A21" s="5" t="s">
        <v>107</v>
      </c>
      <c r="B21" s="6" t="n">
        <v>-441.52</v>
      </c>
      <c r="C21" s="6" t="n">
        <v>-550.19</v>
      </c>
      <c r="D21" s="6" t="n">
        <v>-520</v>
      </c>
      <c r="E21" s="6" t="n">
        <v>-490</v>
      </c>
    </row>
    <row r="22" customFormat="false" ht="15" hidden="false" customHeight="true" outlineLevel="0" collapsed="false">
      <c r="A22" s="5" t="s">
        <v>108</v>
      </c>
      <c r="B22" s="15" t="n">
        <f aca="false">-Assumptions!B25</f>
        <v>-0</v>
      </c>
      <c r="C22" s="15" t="n">
        <f aca="false">-Assumptions!C25</f>
        <v>-0</v>
      </c>
      <c r="D22" s="15" t="n">
        <f aca="false">-Assumptions!D25</f>
        <v>-0</v>
      </c>
      <c r="E22" s="15" t="n">
        <f aca="false">-Assumptions!E25</f>
        <v>-0</v>
      </c>
    </row>
    <row r="23" customFormat="false" ht="15" hidden="false" customHeight="true" outlineLevel="0" collapsed="false">
      <c r="A23" s="17" t="s">
        <v>109</v>
      </c>
      <c r="B23" s="18" t="n">
        <f aca="false">SUM(B20:B22)</f>
        <v>-881.46</v>
      </c>
      <c r="C23" s="18" t="n">
        <f aca="false">SUM(C20:C22)</f>
        <v>-908.81</v>
      </c>
      <c r="D23" s="18" t="n">
        <f aca="false">SUM(D20:D22)</f>
        <v>-878.62</v>
      </c>
      <c r="E23" s="18" t="n">
        <f aca="false">SUM(E20:E22)</f>
        <v>-890</v>
      </c>
    </row>
    <row r="24" customFormat="false" ht="15" hidden="false" customHeight="true" outlineLevel="0" collapsed="false">
      <c r="A24" s="17" t="s">
        <v>110</v>
      </c>
      <c r="B24" s="18" t="n">
        <f aca="false">B12+B18+B23</f>
        <v>693.759999999998</v>
      </c>
      <c r="C24" s="18" t="n">
        <f aca="false">C12+C18+C23</f>
        <v>2611</v>
      </c>
      <c r="D24" s="18" t="n">
        <f aca="false">D12+D18+D23</f>
        <v>-134.385200000002</v>
      </c>
      <c r="E24" s="18" t="n">
        <f aca="false">E12+E18+E23</f>
        <v>204.405706999995</v>
      </c>
    </row>
    <row r="25" customFormat="false" ht="15" hidden="false" customHeight="true" outlineLevel="0" collapsed="false"/>
    <row r="26" customFormat="false" ht="15" hidden="false" customHeight="true" outlineLevel="0" collapsed="false">
      <c r="A26" s="5" t="s">
        <v>111</v>
      </c>
      <c r="B26" s="6" t="n">
        <v>807.53</v>
      </c>
      <c r="C26" s="6" t="n">
        <v>1027.49</v>
      </c>
      <c r="D26" s="16" t="n">
        <f aca="false">C27</f>
        <v>3638.49</v>
      </c>
      <c r="E26" s="16" t="n">
        <f aca="false">D27</f>
        <v>3504.1048</v>
      </c>
    </row>
    <row r="27" customFormat="false" ht="15" hidden="false" customHeight="true" outlineLevel="0" collapsed="false">
      <c r="A27" s="17" t="s">
        <v>112</v>
      </c>
      <c r="B27" s="18" t="n">
        <f aca="false">B24+B26</f>
        <v>1501.29</v>
      </c>
      <c r="C27" s="18" t="n">
        <f aca="false">C24+C26</f>
        <v>3638.49</v>
      </c>
      <c r="D27" s="18" t="n">
        <f aca="false">D24+D26</f>
        <v>3504.1048</v>
      </c>
      <c r="E27" s="18" t="n">
        <f aca="false">E24+E26</f>
        <v>3708.51050699999</v>
      </c>
    </row>
  </sheetData>
  <mergeCells count="5">
    <mergeCell ref="A1:E1"/>
    <mergeCell ref="A2:E2"/>
    <mergeCell ref="A5:E5"/>
    <mergeCell ref="A13:E13"/>
    <mergeCell ref="A19:E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6"/>
    <col collapsed="false" customWidth="true" hidden="false" outlineLevel="0" max="5" min="2" style="0" width="14"/>
  </cols>
  <sheetData>
    <row r="1" customFormat="false" ht="24" hidden="false" customHeight="true" outlineLevel="0" collapsed="false">
      <c r="A1" s="1" t="s">
        <v>113</v>
      </c>
      <c r="B1" s="1"/>
      <c r="C1" s="1"/>
      <c r="D1" s="1"/>
      <c r="E1" s="1"/>
    </row>
    <row r="3" customFormat="false" ht="15" hidden="false" customHeight="true" outlineLevel="0" collapsed="false">
      <c r="A3" s="3" t="s">
        <v>114</v>
      </c>
      <c r="B3" s="3" t="s">
        <v>3</v>
      </c>
      <c r="C3" s="3" t="s">
        <v>4</v>
      </c>
      <c r="D3" s="3" t="s">
        <v>5</v>
      </c>
      <c r="E3" s="3" t="s">
        <v>6</v>
      </c>
    </row>
    <row r="4" customFormat="false" ht="15" hidden="false" customHeight="true" outlineLevel="0" collapsed="false">
      <c r="A4" s="4" t="s">
        <v>115</v>
      </c>
      <c r="B4" s="4"/>
      <c r="C4" s="4"/>
      <c r="D4" s="4"/>
      <c r="E4" s="4"/>
    </row>
    <row r="5" customFormat="false" ht="15" hidden="false" customHeight="true" outlineLevel="0" collapsed="false">
      <c r="A5" s="5" t="s">
        <v>9</v>
      </c>
      <c r="B5" s="29" t="s">
        <v>116</v>
      </c>
      <c r="C5" s="20" t="n">
        <f aca="false">('Income Statement'!C6-'Income Statement'!B6)/'Income Statement'!B6</f>
        <v>-0.085734413493474</v>
      </c>
      <c r="D5" s="20" t="n">
        <f aca="false">('Income Statement'!D6-'Income Statement'!C6)/'Income Statement'!C6</f>
        <v>0.0500000000000001</v>
      </c>
      <c r="E5" s="20" t="n">
        <f aca="false">('Income Statement'!E6-'Income Statement'!D6)/'Income Statement'!D6</f>
        <v>0.0800000000000001</v>
      </c>
    </row>
    <row r="6" customFormat="false" ht="15" hidden="false" customHeight="true" outlineLevel="0" collapsed="false">
      <c r="A6" s="5" t="s">
        <v>46</v>
      </c>
      <c r="B6" s="20" t="n">
        <f aca="false">'Income Statement'!B17/'Income Statement'!B6</f>
        <v>0.116355720305642</v>
      </c>
      <c r="C6" s="20" t="n">
        <f aca="false">'Income Statement'!C17/'Income Statement'!C6</f>
        <v>0.10671109019671</v>
      </c>
      <c r="D6" s="20" t="n">
        <f aca="false">'Income Statement'!D17/'Income Statement'!D6</f>
        <v>0.101915036164219</v>
      </c>
      <c r="E6" s="20" t="n">
        <f aca="false">'Income Statement'!E17/'Income Statement'!E6</f>
        <v>0.0969474941173142</v>
      </c>
    </row>
    <row r="7" customFormat="false" ht="15" hidden="false" customHeight="true" outlineLevel="0" collapsed="false">
      <c r="A7" s="5" t="s">
        <v>48</v>
      </c>
      <c r="B7" s="20" t="n">
        <f aca="false">'Income Statement'!B20</f>
        <v>0.089239289582737</v>
      </c>
      <c r="C7" s="20" t="n">
        <f aca="false">'Income Statement'!C20</f>
        <v>0.0780181535883156</v>
      </c>
      <c r="D7" s="20" t="n">
        <f aca="false">'Income Statement'!D20</f>
        <v>0.0757640860348799</v>
      </c>
      <c r="E7" s="20" t="n">
        <f aca="false">'Income Statement'!E20</f>
        <v>0.0737536693902652</v>
      </c>
    </row>
    <row r="8" customFormat="false" ht="15" hidden="false" customHeight="true" outlineLevel="0" collapsed="false">
      <c r="A8" s="5" t="s">
        <v>51</v>
      </c>
      <c r="B8" s="20" t="n">
        <f aca="false">'Income Statement'!B23</f>
        <v>0.067315983652194</v>
      </c>
      <c r="C8" s="20" t="n">
        <f aca="false">'Income Statement'!C23</f>
        <v>0.0598217858158419</v>
      </c>
      <c r="D8" s="20" t="n">
        <f aca="false">'Income Statement'!D23</f>
        <v>0.0581110539887529</v>
      </c>
      <c r="E8" s="20" t="n">
        <f aca="false">'Income Statement'!E23</f>
        <v>0.0565690644223334</v>
      </c>
    </row>
    <row r="9" customFormat="false" ht="15" hidden="false" customHeight="true" outlineLevel="0" collapsed="false">
      <c r="A9" s="5" t="s">
        <v>21</v>
      </c>
      <c r="B9" s="20" t="n">
        <f aca="false">'Income Statement'!B21/'Income Statement'!B19</f>
        <v>0.245668763535114</v>
      </c>
      <c r="C9" s="20" t="n">
        <f aca="false">'Income Statement'!C21/'Income Statement'!C19</f>
        <v>0.233232484179155</v>
      </c>
      <c r="D9" s="20" t="n">
        <f aca="false">'Income Statement'!D21/'Income Statement'!D19</f>
        <v>0.233</v>
      </c>
      <c r="E9" s="20" t="n">
        <f aca="false">'Income Statement'!E21/'Income Statement'!E19</f>
        <v>0.233</v>
      </c>
    </row>
    <row r="10" customFormat="false" ht="15" hidden="false" customHeight="true" outlineLevel="0" collapsed="false">
      <c r="A10" s="4" t="s">
        <v>117</v>
      </c>
      <c r="B10" s="4"/>
      <c r="C10" s="4"/>
      <c r="D10" s="4"/>
      <c r="E10" s="4"/>
    </row>
    <row r="11" customFormat="false" ht="15" hidden="false" customHeight="true" outlineLevel="0" collapsed="false">
      <c r="A11" s="5" t="s">
        <v>118</v>
      </c>
      <c r="B11" s="30" t="n">
        <f aca="false">('Balance Sheet'!B25+'Balance Sheet'!B29)/'Balance Sheet'!B23</f>
        <v>0.761097863556401</v>
      </c>
      <c r="C11" s="30" t="n">
        <f aca="false">('Balance Sheet'!C25+'Balance Sheet'!C29)/'Balance Sheet'!C23</f>
        <v>0.624906652813403</v>
      </c>
      <c r="D11" s="30" t="n">
        <f aca="false">('Balance Sheet'!D25+'Balance Sheet'!D29)/'Balance Sheet'!D23</f>
        <v>0.508367967776059</v>
      </c>
      <c r="E11" s="30" t="n">
        <f aca="false">('Balance Sheet'!E25+'Balance Sheet'!E29)/'Balance Sheet'!E23</f>
        <v>0.407429017275111</v>
      </c>
    </row>
    <row r="12" customFormat="false" ht="15" hidden="false" customHeight="true" outlineLevel="0" collapsed="false">
      <c r="A12" s="5" t="s">
        <v>119</v>
      </c>
      <c r="B12" s="30" t="n">
        <f aca="false">'Income Statement'!B17/'Income Statement'!B12</f>
        <v>4.448116941371</v>
      </c>
      <c r="C12" s="30" t="n">
        <f aca="false">'Income Statement'!C17/'Income Statement'!C12</f>
        <v>3.93001056514244</v>
      </c>
      <c r="D12" s="30" t="n">
        <f aca="false">'Income Statement'!D17/'Income Statement'!D12</f>
        <v>4.14847156630432</v>
      </c>
      <c r="E12" s="30" t="n">
        <f aca="false">'Income Statement'!E17/'Income Statement'!E12</f>
        <v>4.48628224718736</v>
      </c>
    </row>
    <row r="13" customFormat="false" ht="15" hidden="false" customHeight="true" outlineLevel="0" collapsed="false">
      <c r="A13" s="5" t="s">
        <v>120</v>
      </c>
      <c r="B13" s="16" t="n">
        <f aca="false">'Balance Sheet'!B25+'Balance Sheet'!B29-'Balance Sheet'!B15</f>
        <v>4960.28</v>
      </c>
      <c r="C13" s="16" t="n">
        <f aca="false">'Balance Sheet'!C25+'Balance Sheet'!C29-'Balance Sheet'!C15</f>
        <v>2344.22</v>
      </c>
      <c r="D13" s="16" t="n">
        <f aca="false">'Balance Sheet'!D25+'Balance Sheet'!D29-'Balance Sheet'!D15</f>
        <v>5002.89</v>
      </c>
      <c r="E13" s="16" t="n">
        <f aca="false">'Balance Sheet'!E25+'Balance Sheet'!E29-'Balance Sheet'!E15</f>
        <v>4530.89</v>
      </c>
    </row>
    <row r="14" customFormat="false" ht="15" hidden="false" customHeight="true" outlineLevel="0" collapsed="false">
      <c r="A14" s="4" t="s">
        <v>121</v>
      </c>
      <c r="B14" s="4"/>
      <c r="C14" s="4"/>
      <c r="D14" s="4"/>
      <c r="E14" s="4"/>
    </row>
    <row r="15" customFormat="false" ht="15" hidden="false" customHeight="true" outlineLevel="0" collapsed="false">
      <c r="A15" s="5" t="s">
        <v>122</v>
      </c>
      <c r="B15" s="20" t="n">
        <f aca="false">'Income Statement'!B22/'Balance Sheet'!B23</f>
        <v>0.185953722252163</v>
      </c>
      <c r="C15" s="20" t="n">
        <f aca="false">'Income Statement'!C22/'Balance Sheet'!C23</f>
        <v>0.137831469481848</v>
      </c>
      <c r="D15" s="20" t="n">
        <f aca="false">'Income Statement'!D22/'Balance Sheet'!D23</f>
        <v>0.123193823788123</v>
      </c>
      <c r="E15" s="20" t="n">
        <f aca="false">'Income Statement'!E22/'Balance Sheet'!E23</f>
        <v>0.114615709852683</v>
      </c>
    </row>
    <row r="16" customFormat="false" ht="15" hidden="false" customHeight="true" outlineLevel="0" collapsed="false">
      <c r="A16" s="5" t="s">
        <v>123</v>
      </c>
      <c r="B16" s="20" t="n">
        <f aca="false">'Income Statement'!B22/'Balance Sheet'!B18</f>
        <v>0.0784864210631919</v>
      </c>
      <c r="C16" s="20" t="n">
        <f aca="false">'Income Statement'!C22/'Balance Sheet'!C18</f>
        <v>0.0609918109378038</v>
      </c>
      <c r="D16" s="20" t="n">
        <f aca="false">'Income Statement'!D22/'Balance Sheet'!D18</f>
        <v>0.0419563350152931</v>
      </c>
      <c r="E16" s="20" t="n">
        <f aca="false">'Income Statement'!E22/'Balance Sheet'!E18</f>
        <v>0.0458717048524948</v>
      </c>
    </row>
    <row r="17" customFormat="false" ht="15" hidden="false" customHeight="true" outlineLevel="0" collapsed="false">
      <c r="A17" s="5" t="s">
        <v>55</v>
      </c>
      <c r="B17" s="22" t="n">
        <f aca="false">'Income Statement'!B27</f>
        <v>7.01647912171207</v>
      </c>
      <c r="C17" s="22" t="n">
        <f aca="false">'Income Statement'!C27</f>
        <v>5.70076039075115</v>
      </c>
      <c r="D17" s="22" t="n">
        <f aca="false">'Income Statement'!D27</f>
        <v>5.81462171084105</v>
      </c>
      <c r="E17" s="22" t="n">
        <f aca="false">'Income Statement'!E27</f>
        <v>6.11315580393684</v>
      </c>
    </row>
    <row r="18" customFormat="false" ht="15" hidden="false" customHeight="true" outlineLevel="0" collapsed="false"/>
  </sheetData>
  <mergeCells count="4">
    <mergeCell ref="A1:E1"/>
    <mergeCell ref="A4:E4"/>
    <mergeCell ref="A10:E10"/>
    <mergeCell ref="A14:E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2026-03-24T10:12:20Z</dcterms:created>
  <dc:creator>openpyxl</dc:creator>
  <dc:description/>
  <dc:language>en-US</dc:language>
  <cp:lastModifiedBy/>
  <dcterms:modified xsi:type="dcterms:W3CDTF">2026-03-24T10:12:20Z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