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inanj\Documents\GitHub\inakm.github.io\myprojects\GatiGo\"/>
    </mc:Choice>
  </mc:AlternateContent>
  <xr:revisionPtr revIDLastSave="0" documentId="13_ncr:1_{5B265DF7-1B35-4E8C-9A2B-E618E2E51EC4}" xr6:coauthVersionLast="47" xr6:coauthVersionMax="47" xr10:uidLastSave="{00000000-0000-0000-0000-000000000000}"/>
  <bookViews>
    <workbookView xWindow="-108" yWindow="-108" windowWidth="30936" windowHeight="18696" tabRatio="500" activeTab="5" xr2:uid="{00000000-000D-0000-FFFF-FFFF00000000}"/>
  </bookViews>
  <sheets>
    <sheet name=" Dashboard" sheetId="1" r:id="rId1"/>
    <sheet name="CVP Inputs" sheetId="2" r:id="rId2"/>
    <sheet name="Break-Even Analysis" sheetId="3" r:id="rId3"/>
    <sheet name="CVP Table" sheetId="4" r:id="rId4"/>
    <sheet name="Scenario Analysis" sheetId="5" r:id="rId5"/>
    <sheet name="Goal Seek Tables" sheetId="6" r:id="rId6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22" i="6" l="1"/>
  <c r="B19" i="6"/>
  <c r="F19" i="6"/>
  <c r="E19" i="6"/>
  <c r="D19" i="6"/>
  <c r="C19" i="6"/>
  <c r="B15" i="6"/>
  <c r="B16" i="5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25" i="4"/>
  <c r="E33" i="4"/>
  <c r="D33" i="4"/>
  <c r="D34" i="4"/>
  <c r="D35" i="4"/>
  <c r="D36" i="4"/>
  <c r="D37" i="4"/>
  <c r="D38" i="4"/>
  <c r="D39" i="4"/>
  <c r="D40" i="4"/>
  <c r="C33" i="4"/>
  <c r="C34" i="4"/>
  <c r="E34" i="4" s="1"/>
  <c r="C35" i="4"/>
  <c r="E35" i="4" s="1"/>
  <c r="C36" i="4"/>
  <c r="E36" i="4" s="1"/>
  <c r="C37" i="4"/>
  <c r="E37" i="4" s="1"/>
  <c r="F37" i="4" s="1"/>
  <c r="H37" i="4" s="1"/>
  <c r="C38" i="4"/>
  <c r="E38" i="4" s="1"/>
  <c r="C39" i="4"/>
  <c r="E39" i="4" s="1"/>
  <c r="C40" i="4"/>
  <c r="E40" i="4" s="1"/>
  <c r="B33" i="4"/>
  <c r="F33" i="4" s="1"/>
  <c r="H33" i="4" s="1"/>
  <c r="B34" i="4"/>
  <c r="F34" i="4" s="1"/>
  <c r="H34" i="4" s="1"/>
  <c r="B35" i="4"/>
  <c r="B36" i="4"/>
  <c r="F36" i="4" s="1"/>
  <c r="H36" i="4" s="1"/>
  <c r="B37" i="4"/>
  <c r="B38" i="4"/>
  <c r="F38" i="4" s="1"/>
  <c r="H38" i="4" s="1"/>
  <c r="B39" i="4"/>
  <c r="F39" i="4" s="1"/>
  <c r="H39" i="4" s="1"/>
  <c r="B40" i="4"/>
  <c r="H26" i="4"/>
  <c r="H27" i="4"/>
  <c r="H28" i="4"/>
  <c r="H29" i="4"/>
  <c r="H30" i="4"/>
  <c r="H31" i="4"/>
  <c r="H32" i="4"/>
  <c r="F26" i="4"/>
  <c r="F27" i="4"/>
  <c r="F28" i="4"/>
  <c r="F29" i="4"/>
  <c r="F30" i="4"/>
  <c r="F31" i="4"/>
  <c r="F32" i="4"/>
  <c r="E26" i="4"/>
  <c r="E27" i="4"/>
  <c r="E28" i="4"/>
  <c r="E29" i="4"/>
  <c r="E30" i="4"/>
  <c r="E31" i="4"/>
  <c r="E32" i="4"/>
  <c r="D26" i="4"/>
  <c r="D27" i="4"/>
  <c r="D28" i="4"/>
  <c r="D29" i="4"/>
  <c r="D30" i="4"/>
  <c r="D31" i="4"/>
  <c r="D32" i="4"/>
  <c r="C27" i="4"/>
  <c r="C28" i="4"/>
  <c r="C29" i="4"/>
  <c r="C30" i="4"/>
  <c r="C31" i="4"/>
  <c r="C32" i="4"/>
  <c r="B27" i="4"/>
  <c r="B28" i="4"/>
  <c r="B29" i="4"/>
  <c r="B30" i="4"/>
  <c r="B31" i="4"/>
  <c r="B32" i="4"/>
  <c r="D25" i="4"/>
  <c r="B26" i="4"/>
  <c r="B25" i="4"/>
  <c r="C26" i="4"/>
  <c r="C25" i="4"/>
  <c r="G4" i="4"/>
  <c r="F4" i="4"/>
  <c r="E4" i="4"/>
  <c r="B25" i="3"/>
  <c r="B24" i="3"/>
  <c r="B23" i="3"/>
  <c r="B22" i="3"/>
  <c r="B20" i="3"/>
  <c r="B19" i="3"/>
  <c r="B18" i="3"/>
  <c r="B17" i="3"/>
  <c r="B16" i="3"/>
  <c r="B13" i="3"/>
  <c r="B12" i="3"/>
  <c r="B11" i="3"/>
  <c r="B10" i="3"/>
  <c r="B7" i="3"/>
  <c r="B6" i="3"/>
  <c r="B15" i="2"/>
  <c r="B14" i="2"/>
  <c r="E11" i="2"/>
  <c r="B7" i="2"/>
  <c r="F8" i="5"/>
  <c r="E8" i="5"/>
  <c r="D8" i="5"/>
  <c r="C8" i="5"/>
  <c r="B8" i="5"/>
  <c r="F7" i="5"/>
  <c r="E7" i="5"/>
  <c r="D7" i="5"/>
  <c r="C7" i="5"/>
  <c r="B7" i="5"/>
  <c r="F6" i="5"/>
  <c r="F12" i="5" s="1"/>
  <c r="E6" i="1" s="1"/>
  <c r="E6" i="5"/>
  <c r="E12" i="5" s="1"/>
  <c r="D6" i="5"/>
  <c r="D12" i="5" s="1"/>
  <c r="D6" i="1" s="1"/>
  <c r="C6" i="5"/>
  <c r="C12" i="5" s="1"/>
  <c r="C6" i="1" s="1"/>
  <c r="B6" i="5"/>
  <c r="B12" i="5" s="1"/>
  <c r="F5" i="5"/>
  <c r="F11" i="5" s="1"/>
  <c r="E5" i="5"/>
  <c r="E11" i="5" s="1"/>
  <c r="D5" i="5"/>
  <c r="D11" i="5" s="1"/>
  <c r="C5" i="5"/>
  <c r="C11" i="5" s="1"/>
  <c r="B5" i="5"/>
  <c r="B11" i="5" s="1"/>
  <c r="D24" i="4"/>
  <c r="B24" i="4"/>
  <c r="B22" i="4"/>
  <c r="C21" i="4"/>
  <c r="C19" i="4"/>
  <c r="D17" i="4"/>
  <c r="B15" i="4"/>
  <c r="D14" i="4"/>
  <c r="D12" i="4"/>
  <c r="B12" i="4"/>
  <c r="D10" i="4"/>
  <c r="D7" i="4"/>
  <c r="B7" i="4"/>
  <c r="D6" i="4"/>
  <c r="D5" i="4"/>
  <c r="B5" i="4"/>
  <c r="B30" i="2"/>
  <c r="G23" i="6" s="1"/>
  <c r="B12" i="2"/>
  <c r="C6" i="4" s="1"/>
  <c r="E6" i="4" s="1"/>
  <c r="B18" i="4"/>
  <c r="B15" i="1"/>
  <c r="B6" i="1"/>
  <c r="F40" i="4" l="1"/>
  <c r="H40" i="4" s="1"/>
  <c r="F35" i="4"/>
  <c r="H35" i="4" s="1"/>
  <c r="D5" i="1"/>
  <c r="D13" i="5"/>
  <c r="F13" i="5"/>
  <c r="E5" i="1"/>
  <c r="F12" i="4"/>
  <c r="H12" i="4" s="1"/>
  <c r="E21" i="4"/>
  <c r="F24" i="4"/>
  <c r="H24" i="4" s="1"/>
  <c r="B13" i="5"/>
  <c r="B14" i="5" s="1"/>
  <c r="C13" i="5"/>
  <c r="C5" i="1"/>
  <c r="F7" i="4"/>
  <c r="H7" i="4" s="1"/>
  <c r="E13" i="5"/>
  <c r="E14" i="5" s="1"/>
  <c r="B8" i="3"/>
  <c r="C4" i="4"/>
  <c r="D11" i="4"/>
  <c r="B16" i="4"/>
  <c r="D18" i="4"/>
  <c r="D21" i="6"/>
  <c r="E21" i="6"/>
  <c r="B4" i="4"/>
  <c r="C11" i="4"/>
  <c r="E11" i="4" s="1"/>
  <c r="C18" i="4"/>
  <c r="E18" i="4" s="1"/>
  <c r="F18" i="4" s="1"/>
  <c r="H18" i="4" s="1"/>
  <c r="C9" i="4"/>
  <c r="E9" i="4" s="1"/>
  <c r="B14" i="4"/>
  <c r="F14" i="4" s="1"/>
  <c r="H14" i="4" s="1"/>
  <c r="D16" i="4"/>
  <c r="C23" i="4"/>
  <c r="F21" i="6"/>
  <c r="C24" i="4"/>
  <c r="E24" i="4" s="1"/>
  <c r="D4" i="4"/>
  <c r="B9" i="4"/>
  <c r="C16" i="4"/>
  <c r="B23" i="4"/>
  <c r="B5" i="1"/>
  <c r="B9" i="1"/>
  <c r="D9" i="4"/>
  <c r="C14" i="4"/>
  <c r="E14" i="4" s="1"/>
  <c r="B21" i="4"/>
  <c r="F21" i="4" s="1"/>
  <c r="H21" i="4" s="1"/>
  <c r="D23" i="4"/>
  <c r="G21" i="6"/>
  <c r="B22" i="6"/>
  <c r="C7" i="4"/>
  <c r="E7" i="4" s="1"/>
  <c r="C12" i="4"/>
  <c r="E12" i="4" s="1"/>
  <c r="B19" i="4"/>
  <c r="D21" i="4"/>
  <c r="C22" i="6"/>
  <c r="C5" i="4"/>
  <c r="E5" i="4" s="1"/>
  <c r="F5" i="4" s="1"/>
  <c r="H5" i="4" s="1"/>
  <c r="B10" i="4"/>
  <c r="F10" i="4" s="1"/>
  <c r="H10" i="4" s="1"/>
  <c r="B17" i="4"/>
  <c r="F17" i="4" s="1"/>
  <c r="H17" i="4" s="1"/>
  <c r="D19" i="4"/>
  <c r="E19" i="4" s="1"/>
  <c r="G19" i="6"/>
  <c r="E22" i="6"/>
  <c r="B20" i="6"/>
  <c r="F22" i="6"/>
  <c r="C20" i="6"/>
  <c r="G22" i="6"/>
  <c r="B9" i="5"/>
  <c r="B5" i="6"/>
  <c r="D20" i="6"/>
  <c r="B23" i="6"/>
  <c r="C10" i="4"/>
  <c r="E10" i="4" s="1"/>
  <c r="C17" i="4"/>
  <c r="E17" i="4" s="1"/>
  <c r="B8" i="4"/>
  <c r="B13" i="4"/>
  <c r="D15" i="4"/>
  <c r="C22" i="4"/>
  <c r="E22" i="4" s="1"/>
  <c r="F22" i="4" s="1"/>
  <c r="H22" i="4" s="1"/>
  <c r="C9" i="5"/>
  <c r="B6" i="6"/>
  <c r="E20" i="6"/>
  <c r="C23" i="6"/>
  <c r="D9" i="5"/>
  <c r="B7" i="6"/>
  <c r="B8" i="6" s="1"/>
  <c r="B9" i="6" s="1"/>
  <c r="F20" i="6"/>
  <c r="D23" i="6"/>
  <c r="C15" i="4"/>
  <c r="C8" i="4"/>
  <c r="C13" i="4"/>
  <c r="E13" i="4" s="1"/>
  <c r="B20" i="4"/>
  <c r="D22" i="4"/>
  <c r="B5" i="3"/>
  <c r="B6" i="4"/>
  <c r="F6" i="4" s="1"/>
  <c r="H6" i="4" s="1"/>
  <c r="D8" i="4"/>
  <c r="D13" i="4"/>
  <c r="C20" i="4"/>
  <c r="E9" i="5"/>
  <c r="E16" i="5" s="1"/>
  <c r="G20" i="6"/>
  <c r="E23" i="6"/>
  <c r="B4" i="3"/>
  <c r="B11" i="4"/>
  <c r="D20" i="4"/>
  <c r="F9" i="5"/>
  <c r="B21" i="6"/>
  <c r="F23" i="6"/>
  <c r="B13" i="6"/>
  <c r="C21" i="6"/>
  <c r="F13" i="4" l="1"/>
  <c r="H13" i="4" s="1"/>
  <c r="F23" i="4"/>
  <c r="H23" i="4" s="1"/>
  <c r="E25" i="4"/>
  <c r="F25" i="4" s="1"/>
  <c r="H25" i="4" s="1"/>
  <c r="E20" i="5"/>
  <c r="F19" i="4"/>
  <c r="H19" i="4" s="1"/>
  <c r="F9" i="4"/>
  <c r="F11" i="4"/>
  <c r="E16" i="4"/>
  <c r="F16" i="4"/>
  <c r="H16" i="4" s="1"/>
  <c r="E7" i="1"/>
  <c r="F14" i="5"/>
  <c r="E8" i="1" s="1"/>
  <c r="D9" i="1"/>
  <c r="D16" i="5"/>
  <c r="D7" i="1"/>
  <c r="D14" i="5"/>
  <c r="D8" i="1" s="1"/>
  <c r="C16" i="5"/>
  <c r="C9" i="1"/>
  <c r="E17" i="5"/>
  <c r="E19" i="5"/>
  <c r="E18" i="5"/>
  <c r="C14" i="5"/>
  <c r="C8" i="1" s="1"/>
  <c r="C7" i="1"/>
  <c r="B14" i="6"/>
  <c r="F20" i="4"/>
  <c r="H20" i="4" s="1"/>
  <c r="F8" i="4"/>
  <c r="E15" i="4"/>
  <c r="F15" i="4" s="1"/>
  <c r="H15" i="4" s="1"/>
  <c r="G15" i="4"/>
  <c r="B19" i="1"/>
  <c r="G24" i="4"/>
  <c r="G17" i="4"/>
  <c r="G10" i="4"/>
  <c r="G19" i="4"/>
  <c r="G21" i="4"/>
  <c r="G9" i="4"/>
  <c r="G5" i="4"/>
  <c r="G14" i="4"/>
  <c r="G16" i="4"/>
  <c r="G18" i="4"/>
  <c r="G11" i="4"/>
  <c r="G20" i="4"/>
  <c r="G22" i="4"/>
  <c r="G7" i="4"/>
  <c r="G23" i="4"/>
  <c r="G6" i="4"/>
  <c r="B7" i="1"/>
  <c r="G12" i="4"/>
  <c r="G13" i="4"/>
  <c r="G8" i="4"/>
  <c r="E20" i="4"/>
  <c r="E8" i="4"/>
  <c r="H4" i="4"/>
  <c r="F16" i="5"/>
  <c r="E9" i="1"/>
  <c r="E23" i="4"/>
  <c r="D18" i="5" l="1"/>
  <c r="D13" i="1" s="1"/>
  <c r="D11" i="1"/>
  <c r="D17" i="5"/>
  <c r="D12" i="1" s="1"/>
  <c r="D20" i="5"/>
  <c r="D19" i="5"/>
  <c r="F17" i="5"/>
  <c r="E12" i="1" s="1"/>
  <c r="F20" i="5"/>
  <c r="F19" i="5"/>
  <c r="E11" i="1"/>
  <c r="F18" i="5"/>
  <c r="E13" i="1" s="1"/>
  <c r="B26" i="3"/>
  <c r="C18" i="5"/>
  <c r="C13" i="1" s="1"/>
  <c r="C17" i="5"/>
  <c r="C12" i="1" s="1"/>
  <c r="C11" i="1"/>
  <c r="C20" i="5"/>
  <c r="C19" i="5"/>
  <c r="B11" i="1"/>
  <c r="B13" i="1"/>
  <c r="B18" i="1"/>
  <c r="B16" i="1"/>
  <c r="B12" i="1"/>
  <c r="B18" i="5"/>
  <c r="B17" i="5"/>
  <c r="B8" i="1"/>
  <c r="B17" i="1" l="1"/>
</calcChain>
</file>

<file path=xl/sharedStrings.xml><?xml version="1.0" encoding="utf-8"?>
<sst xmlns="http://schemas.openxmlformats.org/spreadsheetml/2006/main" count="259" uniqueCount="180">
  <si>
    <t>Metric</t>
  </si>
  <si>
    <t>Value</t>
  </si>
  <si>
    <t>Scenario 1</t>
  </si>
  <si>
    <t>Scenario 2</t>
  </si>
  <si>
    <t>Scenario 4</t>
  </si>
  <si>
    <t>Net Revenue per Ride (Rs)</t>
  </si>
  <si>
    <t>Total Variable Cost per Ride (Rs)</t>
  </si>
  <si>
    <t>Contribution Margin per Ride (Rs)</t>
  </si>
  <si>
    <t>Contribution Margin Ratio</t>
  </si>
  <si>
    <t>Total Fixed Cost per Month (Rs)</t>
  </si>
  <si>
    <t>BREAK-EVEN RESULTS  (Base and Scenario comparison)</t>
  </si>
  <si>
    <t>Break-Even Rides per Month</t>
  </si>
  <si>
    <t>Break-Even Rides per Day</t>
  </si>
  <si>
    <t>Break-Even Revenue per Month</t>
  </si>
  <si>
    <t>MARGIN OF SAFETY  (how far above break-even is Q1 Mar actual?)</t>
  </si>
  <si>
    <t>Actual Rides (Mar Q1 -- best Q1 month)</t>
  </si>
  <si>
    <t>Margin of Safety (rides)</t>
  </si>
  <si>
    <t>Margin of Safety (revenue)</t>
  </si>
  <si>
    <t>Margin of Safety %</t>
  </si>
  <si>
    <t>Operating Leverage</t>
  </si>
  <si>
    <t>NOT a real startup. GatiGo is an academic design concept. All figures are hypothetical and for educational/portfolio purposes only.</t>
  </si>
  <si>
    <t>Model by Anjani Kumar Mishra</t>
  </si>
  <si>
    <t>A  PRICE (Revenue the business earns per unit)</t>
  </si>
  <si>
    <t>Selling Price per Ride (gross fare)</t>
  </si>
  <si>
    <t>Rs</t>
  </si>
  <si>
    <t>Commission Rate (GatiGo keeps this %)</t>
  </si>
  <si>
    <t>%</t>
  </si>
  <si>
    <t>15% of gross fare. Q1 actual. After GST of 18%, net per ride = Rs 19.07.</t>
  </si>
  <si>
    <t>GST Rate on Commission</t>
  </si>
  <si>
    <t>18% GST deducted from commission income. Fixed by Indian tax law.</t>
  </si>
  <si>
    <t>Net Revenue per Ride (after GST)</t>
  </si>
  <si>
    <t xml:space="preserve"> =fare * commission rate / (1 + gst). Q1 actual = rs 19.07. this is the revenue gatigo actually banks per ride.</t>
  </si>
  <si>
    <t>Driver Incentive per Ride</t>
  </si>
  <si>
    <t>Q1 actual: Rs 50 Jan/Feb, Rs 48 Mar. Using blended Q1 average Rs 50 here.</t>
  </si>
  <si>
    <t>Payment Gateway Fee per Ride</t>
  </si>
  <si>
    <t>Variable Support Cost per Ride</t>
  </si>
  <si>
    <t>Estimated Rs 1.50 per ride for customer support tickets. Derived from Q1 actual support cost Rs 62,000 over 15,460 rides = Rs 4.01, split 50% as ride-attributable and 50% fixed.</t>
  </si>
  <si>
    <t>Total Variable Cost per Ride</t>
  </si>
  <si>
    <t xml:space="preserve"> =driver incentive + gateway fee + variable support. Q1 actual blended: rs 54.5 per ride.</t>
  </si>
  <si>
    <t>C  CONTRIBUTION MARGIN (what each ride contributes toward fixed costs)</t>
  </si>
  <si>
    <t>Contribution Margin per Ride (CM)</t>
  </si>
  <si>
    <t>Contribution Margin Ratio (CMR)</t>
  </si>
  <si>
    <t xml:space="preserve"> =cm per ride / net revenue per ride. shows what % of each rupee of revenue is available to cover fixed costs.</t>
  </si>
  <si>
    <t xml:space="preserve">    Salaries -- Engineering</t>
  </si>
  <si>
    <t>Rs/mo</t>
  </si>
  <si>
    <t>Q1 actual. GatiGo_Q1_PL.xlsx. 2 engineers at Rs 60K each.</t>
  </si>
  <si>
    <t xml:space="preserve">    Salaries -- Operations</t>
  </si>
  <si>
    <t>Q1 actual. 2 ops staff at Rs 40K each.</t>
  </si>
  <si>
    <t xml:space="preserve">    Salaries -- Sales and BD</t>
  </si>
  <si>
    <t>Q1 actual Jan/Feb. Mar was Rs 75K (new hire). Using base.</t>
  </si>
  <si>
    <t xml:space="preserve">    App Hosting and Cloud</t>
  </si>
  <si>
    <t>Q1 actual Jan. Scales somewhat -- using Jan as base.</t>
  </si>
  <si>
    <t xml:space="preserve">    Office and Co-working</t>
  </si>
  <si>
    <t>Q1 actual. Fixed lease cost.</t>
  </si>
  <si>
    <t xml:space="preserve">    Marketing -- Digital</t>
  </si>
  <si>
    <t>Q1 actual Jan. Core recurring ad spend.</t>
  </si>
  <si>
    <t xml:space="preserve">    Marketing -- Offline</t>
  </si>
  <si>
    <t>Q1 actual Jan. Campus events and flyers.</t>
  </si>
  <si>
    <t xml:space="preserve">    Customer Support -- Fixed</t>
  </si>
  <si>
    <t>Estimated fixed portion (50% of Rs 20K). Rest is variable.</t>
  </si>
  <si>
    <t xml:space="preserve">    Legal and Compliance</t>
  </si>
  <si>
    <t>Q1 actual. Retainer fee.</t>
  </si>
  <si>
    <t xml:space="preserve">    Insurance</t>
  </si>
  <si>
    <t>Q1 actual. Rider and driver liability policy.</t>
  </si>
  <si>
    <t xml:space="preserve">    Misc Admin</t>
  </si>
  <si>
    <t>Q1 actual. Bank charges, stationery.</t>
  </si>
  <si>
    <t xml:space="preserve">    Depreciation</t>
  </si>
  <si>
    <t>Q1 actual. Laptops on 3-year straight-line.</t>
  </si>
  <si>
    <t xml:space="preserve">    Interest on Seed Loan</t>
  </si>
  <si>
    <t>Q1 actual. Rs 15L loan at 10% p.a.</t>
  </si>
  <si>
    <t>Total Fixed Cost per Month</t>
  </si>
  <si>
    <t>Q1 actual monthly fixed costs (Jan base): Rs 4,69,000 OpEx + Rs 3,500 Dep + Rs 12,500 Interest. Matches burn rate from unit economics CSV file.</t>
  </si>
  <si>
    <t>Net Revenue per Ride</t>
  </si>
  <si>
    <t xml:space="preserve"> =fare x commission / (1 + gst). what gatigo earns per ride after gst.</t>
  </si>
  <si>
    <t>Driver incentive + Gateway fee + Variable support. Goes up with every ride.</t>
  </si>
  <si>
    <t>Contribution Margin per Ride</t>
  </si>
  <si>
    <t>Net Revenue minus Variable Cost. What each ride contributes toward fixed costs.</t>
  </si>
  <si>
    <t>CM per Ride / Net Revenue per Ride. % of each revenue rupee left after paying variable costs.</t>
  </si>
  <si>
    <t>All fixed costs that GatiGo pays every month regardless of rides done.</t>
  </si>
  <si>
    <t>STEP 2  Break-Even Calculations</t>
  </si>
  <si>
    <t>rides</t>
  </si>
  <si>
    <t>rides/day</t>
  </si>
  <si>
    <t xml:space="preserve"> =break-even rides x net revenue per ride. monthly revenue gatigo must hit to cover all fixed costs.</t>
  </si>
  <si>
    <t>Break-Even Revenue per Month (via CMR)</t>
  </si>
  <si>
    <t>STEP 3  Margin of Safety (how far above break-even are we?)</t>
  </si>
  <si>
    <t>Current Actual Rides per Month (Mar Q1)</t>
  </si>
  <si>
    <t>Current Actual Revenue per Month</t>
  </si>
  <si>
    <t xml:space="preserve"> =actual rides x net revenue per ride.</t>
  </si>
  <si>
    <t xml:space="preserve"> =actual revenue - break-even revenue. how much revenue we can lose before hitting a loss.</t>
  </si>
  <si>
    <t xml:space="preserve"> =(actual - break-even) / actual. shows how much volume can fall before we hit a loss. higher is safer.</t>
  </si>
  <si>
    <t>x</t>
  </si>
  <si>
    <t xml:space="preserve"> =contribution margin total / ebit. high leverage = small volume change has big profit impact. typical for platform businesses with large fixed costs.</t>
  </si>
  <si>
    <t>STEP 4  Profit / Loss at Current Volume</t>
  </si>
  <si>
    <t>Total Revenue at Current Volume</t>
  </si>
  <si>
    <t>Total Variable Cost at Current Volume</t>
  </si>
  <si>
    <t xml:space="preserve"> =actual rides x variable cost per ride.</t>
  </si>
  <si>
    <t>Total Contribution Margin</t>
  </si>
  <si>
    <t xml:space="preserve"> =total revenue - total variable costs. this is what goes toward paying fixed costs.</t>
  </si>
  <si>
    <t>Total Fixed Costs</t>
  </si>
  <si>
    <t>Same as input. Shown again for the profit calculation.</t>
  </si>
  <si>
    <t>Net Profit / Loss</t>
  </si>
  <si>
    <t>Jan actual</t>
  </si>
  <si>
    <t>Feb actual</t>
  </si>
  <si>
    <t>Mar actual</t>
  </si>
  <si>
    <t>Scenario</t>
  </si>
  <si>
    <t>Base</t>
  </si>
  <si>
    <t>+10% Var Cost</t>
  </si>
  <si>
    <t>+10% Price</t>
  </si>
  <si>
    <t>-10% Fixed</t>
  </si>
  <si>
    <t>-10% Price, +10% VC</t>
  </si>
  <si>
    <t>Change in BE Rides vs Base Case</t>
  </si>
  <si>
    <t>Change % vs Base Case</t>
  </si>
  <si>
    <t>This is the base break-even with current Q1 actual costs and Q1 Mar price.</t>
  </si>
  <si>
    <t>Driver incentive up 10% (from Rs 50 to Rs 55). Reflects surge pricing or fuel cost pressure. BE rides per month increases -- more volume needed to cover costs.</t>
  </si>
  <si>
    <t>Selling price up 10% (fare from Rs 150 to Rs 165). Better pricing power. BE rides per month falls -- fewer rides needed.</t>
  </si>
  <si>
    <t>All fixed costs cut 10%. Efficiency / headcount reduction. BE rides falls proportionally. Does not affect margin per ride.</t>
  </si>
  <si>
    <t>Worst case: price falls 10% AND variable cost up 10% simultaneously. Likely scenario if a competitor launches aggressive discounts.</t>
  </si>
  <si>
    <t>Goal Seek answers 'what input value gives a specific output?'. Table A: What price do we need to break even at current rides? Table B: What ride volume gives a target monthly profit?</t>
  </si>
  <si>
    <t>TABLE A  What commission rate breaks even at a given ride volume?</t>
  </si>
  <si>
    <t>Change this number to see what commission rate is needed to break even.</t>
  </si>
  <si>
    <t>Fixed Cost per Month:</t>
  </si>
  <si>
    <t>Variable Cost per Ride:</t>
  </si>
  <si>
    <t>Rs/ride</t>
  </si>
  <si>
    <t>Required Contribution Margin per Ride to Break Even:</t>
  </si>
  <si>
    <t xml:space="preserve"> =fixed cost / target rides. each ride must contribute at least this much.</t>
  </si>
  <si>
    <t>Required Net Revenue per Ride to Break Even:</t>
  </si>
  <si>
    <t xml:space="preserve"> =required cm + variable cost per ride.</t>
  </si>
  <si>
    <t>Required Gross Fare per Ride (incl. GST gross-up):</t>
  </si>
  <si>
    <t xml:space="preserve"> =required net revenue * (1 + gst) / commission rate. this is the fare that must appear on the app to break even at the target ride volume.</t>
  </si>
  <si>
    <t>TABLE B  What ride volume achieves a target monthly profit?</t>
  </si>
  <si>
    <t>Enter 0 to find break-even rides. Enter 100000 to find rides for Rs 1L profit. Negative target = acceptable loss level.</t>
  </si>
  <si>
    <t>Required Rides per Month for Target:</t>
  </si>
  <si>
    <t>rides/mo</t>
  </si>
  <si>
    <t xml:space="preserve"> =(fixed costs + target profit) / cm per ride. classic cvp formula rearranged to solve for volume.</t>
  </si>
  <si>
    <t>Required Rides per Day:</t>
  </si>
  <si>
    <t>Daily operational target for the ops team.</t>
  </si>
  <si>
    <t>Expected Monthly Revenue at Required Volume:</t>
  </si>
  <si>
    <t xml:space="preserve"> =required rides x net revenue per ride. revenue target the sales team must hit.</t>
  </si>
  <si>
    <t>TABLE C  Profit at different ride volumes and driver incentive levels</t>
  </si>
  <si>
    <t>Incentive / Rides</t>
  </si>
  <si>
    <t>Driver Inc Rs 45</t>
  </si>
  <si>
    <t>Driver Inc Rs 48</t>
  </si>
  <si>
    <t>Driver Inc Rs 50</t>
  </si>
  <si>
    <t>Driver Inc Rs 52</t>
  </si>
  <si>
    <t>Driver Inc Rs 55</t>
  </si>
  <si>
    <t xml:space="preserve">NOT a real startup. GatiGo is an academic design concept. </t>
  </si>
  <si>
    <t>GatiGo - CVP &amp; Break-Even Model  |  Input Assumptions</t>
  </si>
  <si>
    <t>Q1 actual average ride fare. From GatiGo Q1 P&amp;L.xlsx Assumptions row 7.</t>
  </si>
  <si>
    <t xml:space="preserve">B  VARIABLE COSTS </t>
  </si>
  <si>
    <t xml:space="preserve">Razorpay blended rate. Rs 3 per ride. Q1 actual. </t>
  </si>
  <si>
    <t xml:space="preserve"> =net revenue per ride - variable cost per ride. each ride that exceeds rs 0 cm helps pay off fixed costs. </t>
  </si>
  <si>
    <t>D  FIXED COSTS (monthly - same regardless of how many rides happen)</t>
  </si>
  <si>
    <t>STEP 1  Key Inputs</t>
  </si>
  <si>
    <r>
      <t xml:space="preserve"> =fixed costs / contribution margin per ride. </t>
    </r>
    <r>
      <rPr>
        <b/>
        <i/>
        <sz val="8"/>
        <color rgb="FF546E7A"/>
        <rFont val="Arial"/>
        <family val="2"/>
      </rPr>
      <t>Number of rides per month gatigo must complete to cover all costs and make zero profit.</t>
    </r>
  </si>
  <si>
    <t xml:space="preserve"> =break-even rides per month / 30 days. easier to track operationally. </t>
  </si>
  <si>
    <t>GatiGo - Break-Even Analysis  |  How many rides to cover all costs?</t>
  </si>
  <si>
    <t xml:space="preserve">Alternative formula: Fixed Costs / CM Ratio. </t>
  </si>
  <si>
    <t xml:space="preserve">Q1 March actual. Best month. </t>
  </si>
  <si>
    <t xml:space="preserve"> =actual rides - break-even rides. </t>
  </si>
  <si>
    <t xml:space="preserve"> =contribution margin - fixed costs. </t>
  </si>
  <si>
    <t>GatiGo - Cost-Volume-Profit Table  |  Revenue and Cost at Different Ride Volumes</t>
  </si>
  <si>
    <t>No. of Rides</t>
  </si>
  <si>
    <t>Revenue</t>
  </si>
  <si>
    <t>Variable Cost</t>
  </si>
  <si>
    <t>Fixed Cost</t>
  </si>
  <si>
    <t>Total Cost</t>
  </si>
  <si>
    <t>Profit/Loss</t>
  </si>
  <si>
    <t>Margin</t>
  </si>
  <si>
    <t>Break-even?</t>
  </si>
  <si>
    <t>GatiGo - Scenario Analysis  |  How Each Driver Change Affects Break-Even</t>
  </si>
  <si>
    <t xml:space="preserve">PRICE AND COST INPUTS </t>
  </si>
  <si>
    <t>DERIVED METRICS</t>
  </si>
  <si>
    <t xml:space="preserve">BREAK-EVEN RESULTS  </t>
  </si>
  <si>
    <t>-</t>
  </si>
  <si>
    <t xml:space="preserve">WHAT THIS MEANS  </t>
  </si>
  <si>
    <t>GatiGo - Goal Seek Tables  |  Finding the Exact Input for a Target Output</t>
  </si>
  <si>
    <t>Target Monthly Rides:</t>
  </si>
  <si>
    <t>Target Monthly Profit:</t>
  </si>
  <si>
    <t xml:space="preserve">KEY UNIT ECONOMICS  </t>
  </si>
  <si>
    <t>GatiGo - CVP and Break-Even Dashboard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</si>
</sst>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 &quot;₹&quot;\ * #,##0.00_ ;_ &quot;₹&quot;\ * \-#,##0.00_ ;_ &quot;₹&quot;\ * &quot;-&quot;??_ ;_ @_ "/>
    <numFmt numFmtId="164" formatCode="\₹#,##0.00;&quot;(₹&quot;#,##0.00\);\-"/>
    <numFmt numFmtId="165" formatCode="0.00%;\(0.00%\);\-"/>
    <numFmt numFmtId="166" formatCode="\₹#,##0;&quot;(₹&quot;#,##0\);\-"/>
    <numFmt numFmtId="167" formatCode="#,##0;\(#,##0\);\-"/>
    <numFmt numFmtId="168" formatCode="#,##0.0;\(#,##0.0\);\-"/>
    <numFmt numFmtId="169" formatCode="0.0%;\(0.0%\);\-"/>
    <numFmt numFmtId="170" formatCode="0%;\(0%\);\-"/>
    <numFmt numFmtId="171" formatCode="_ &quot;₹&quot;\ * #,##0_ ;_ &quot;₹&quot;\ * \-#,##0_ ;_ &quot;₹&quot;\ * &quot;-&quot;??_ ;_ @_ "/>
  </numFmts>
  <fonts count="38" x14ac:knownFonts="1">
    <font>
      <sz val="11"/>
      <color theme="1"/>
      <name val="Calibri"/>
      <family val="2"/>
      <charset val="1"/>
    </font>
    <font>
      <sz val="10"/>
      <name val="Arial"/>
    </font>
    <font>
      <b/>
      <sz val="14"/>
      <color rgb="FFFFFFFF"/>
      <name val="Arial"/>
      <charset val="1"/>
    </font>
    <font>
      <i/>
      <sz val="9"/>
      <color rgb="FF546E7A"/>
      <name val="Arial"/>
      <charset val="1"/>
    </font>
    <font>
      <b/>
      <sz val="9"/>
      <color rgb="FFFFFFFF"/>
      <name val="Arial"/>
      <charset val="1"/>
    </font>
    <font>
      <sz val="9"/>
      <color rgb="FF000000"/>
      <name val="Arial"/>
      <charset val="1"/>
    </font>
    <font>
      <sz val="9"/>
      <color rgb="FF1B6B1B"/>
      <name val="Arial"/>
      <charset val="1"/>
    </font>
    <font>
      <b/>
      <sz val="9"/>
      <color rgb="FF0D1B2A"/>
      <name val="Arial"/>
      <charset val="1"/>
    </font>
    <font>
      <b/>
      <sz val="9"/>
      <color rgb="FF1B6B1B"/>
      <name val="Arial"/>
      <charset val="1"/>
    </font>
    <font>
      <i/>
      <sz val="8"/>
      <color rgb="FF888888"/>
      <name val="Arial"/>
      <charset val="1"/>
    </font>
    <font>
      <b/>
      <sz val="13"/>
      <color rgb="FFFFFFFF"/>
      <name val="Arial"/>
      <charset val="1"/>
    </font>
    <font>
      <b/>
      <sz val="9"/>
      <color rgb="FF0000FF"/>
      <name val="Arial"/>
      <charset val="1"/>
    </font>
    <font>
      <i/>
      <sz val="8"/>
      <color rgb="FF546E7A"/>
      <name val="Arial"/>
      <charset val="1"/>
    </font>
    <font>
      <b/>
      <sz val="9"/>
      <color rgb="FF000000"/>
      <name val="Arial"/>
      <charset val="1"/>
    </font>
    <font>
      <b/>
      <sz val="9"/>
      <color rgb="FFB71C1C"/>
      <name val="Arial"/>
      <charset val="1"/>
    </font>
    <font>
      <b/>
      <sz val="9"/>
      <color rgb="FF2E7D32"/>
      <name val="Arial"/>
      <charset val="1"/>
    </font>
    <font>
      <sz val="9"/>
      <color rgb="FF546E7A"/>
      <name val="Arial"/>
      <charset val="1"/>
    </font>
    <font>
      <b/>
      <sz val="12"/>
      <color rgb="FFFFFFFF"/>
      <name val="Arial"/>
      <charset val="1"/>
    </font>
    <font>
      <sz val="9"/>
      <color rgb="FFB71C1C"/>
      <name val="Arial"/>
      <charset val="1"/>
    </font>
    <font>
      <b/>
      <sz val="9"/>
      <color rgb="FFE65100"/>
      <name val="Arial"/>
      <charset val="1"/>
    </font>
    <font>
      <i/>
      <sz val="8"/>
      <color rgb="FFE65100"/>
      <name val="Arial"/>
      <charset val="1"/>
    </font>
    <font>
      <sz val="9"/>
      <name val="Arial"/>
      <charset val="1"/>
    </font>
    <font>
      <sz val="11"/>
      <color rgb="FF9C0006"/>
      <name val="Calibri"/>
      <family val="2"/>
      <scheme val="minor"/>
    </font>
    <font>
      <i/>
      <sz val="9"/>
      <color rgb="FF546E7A"/>
      <name val="Arial"/>
      <family val="2"/>
    </font>
    <font>
      <i/>
      <sz val="8"/>
      <color rgb="FF888888"/>
      <name val="Arial"/>
      <family val="2"/>
    </font>
    <font>
      <b/>
      <sz val="13"/>
      <color rgb="FFFFFFFF"/>
      <name val="Arial"/>
      <family val="2"/>
    </font>
    <font>
      <b/>
      <sz val="14"/>
      <color rgb="FFFFFFFF"/>
      <name val="Arial"/>
      <family val="2"/>
    </font>
    <font>
      <i/>
      <sz val="8"/>
      <color rgb="FF546E7A"/>
      <name val="Arial"/>
      <family val="2"/>
    </font>
    <font>
      <b/>
      <sz val="9"/>
      <color rgb="FFFFFFFF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i/>
      <sz val="8"/>
      <color rgb="FF546E7A"/>
      <name val="Arial"/>
      <family val="2"/>
    </font>
    <font>
      <b/>
      <sz val="12"/>
      <color rgb="FFFFFFFF"/>
      <name val="Arial"/>
      <family val="2"/>
    </font>
    <font>
      <b/>
      <sz val="11"/>
      <color theme="1"/>
      <name val="Calibri"/>
      <family val="2"/>
    </font>
    <font>
      <sz val="9"/>
      <color rgb="FFC00000"/>
      <name val="Arial"/>
      <family val="2"/>
    </font>
    <font>
      <sz val="9"/>
      <color rgb="FF9C0006"/>
      <name val="Arial"/>
      <family val="2"/>
    </font>
    <font>
      <sz val="9"/>
      <color rgb="FF000000"/>
      <name val="Arial"/>
      <family val="2"/>
    </font>
    <font>
      <b/>
      <sz val="9"/>
      <color rgb="FF0D1B2A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rgb="FF0D1B2A"/>
        <bgColor rgb="FF000000"/>
      </patternFill>
    </fill>
    <fill>
      <patternFill patternType="solid">
        <fgColor rgb="FFF5F5F5"/>
        <bgColor rgb="FFF9F9F9"/>
      </patternFill>
    </fill>
    <fill>
      <patternFill patternType="solid">
        <fgColor rgb="FF1565C0"/>
        <bgColor rgb="FF3366FF"/>
      </patternFill>
    </fill>
    <fill>
      <patternFill patternType="solid">
        <fgColor rgb="FF37474F"/>
        <bgColor rgb="FF283593"/>
      </patternFill>
    </fill>
    <fill>
      <patternFill patternType="solid">
        <fgColor rgb="FFE65100"/>
        <bgColor rgb="FFB71C1C"/>
      </patternFill>
    </fill>
    <fill>
      <patternFill patternType="solid">
        <fgColor rgb="FF2E7D32"/>
        <bgColor rgb="FF1B6B1B"/>
      </patternFill>
    </fill>
    <fill>
      <patternFill patternType="solid">
        <fgColor rgb="FFB71C1C"/>
        <bgColor rgb="FF993366"/>
      </patternFill>
    </fill>
    <fill>
      <patternFill patternType="solid">
        <fgColor rgb="FFFAFAFA"/>
        <bgColor rgb="FFF9F9F9"/>
      </patternFill>
    </fill>
    <fill>
      <patternFill patternType="solid">
        <fgColor rgb="FFE3F2FD"/>
        <bgColor rgb="FFE8F5E9"/>
      </patternFill>
    </fill>
    <fill>
      <patternFill patternType="solid">
        <fgColor rgb="FF00695C"/>
        <bgColor rgb="FF008080"/>
      </patternFill>
    </fill>
    <fill>
      <patternFill patternType="solid">
        <fgColor rgb="FFFFFDE7"/>
        <bgColor rgb="FFFAFAFA"/>
      </patternFill>
    </fill>
    <fill>
      <patternFill patternType="solid">
        <fgColor rgb="FFFFEBEE"/>
        <bgColor rgb="FFFFF3E0"/>
      </patternFill>
    </fill>
    <fill>
      <patternFill patternType="solid">
        <fgColor rgb="FFE8F5E9"/>
        <bgColor rgb="FFE3F2FD"/>
      </patternFill>
    </fill>
    <fill>
      <patternFill patternType="solid">
        <fgColor rgb="FF283593"/>
        <bgColor rgb="FF003366"/>
      </patternFill>
    </fill>
    <fill>
      <patternFill patternType="solid">
        <fgColor rgb="FFFFF3E0"/>
        <bgColor rgb="FFFFEBEE"/>
      </patternFill>
    </fill>
    <fill>
      <patternFill patternType="solid">
        <fgColor rgb="FFFFC7CE"/>
      </patternFill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90A4AE"/>
      </left>
      <right/>
      <top style="thin">
        <color rgb="FF90A4AE"/>
      </top>
      <bottom style="thin">
        <color rgb="FF90A4AE"/>
      </bottom>
      <diagonal/>
    </border>
    <border>
      <left style="thin">
        <color rgb="FF90A4AE"/>
      </left>
      <right style="thin">
        <color rgb="FF90A4AE"/>
      </right>
      <top style="thin">
        <color rgb="FF90A4AE"/>
      </top>
      <bottom style="thin">
        <color rgb="FF90A4AE"/>
      </bottom>
      <diagonal/>
    </border>
    <border>
      <left style="thin">
        <color rgb="FF90A4AE"/>
      </left>
      <right style="thin">
        <color rgb="FF90A4AE"/>
      </right>
      <top style="thin">
        <color rgb="FF90A4AE"/>
      </top>
      <bottom style="medium">
        <color rgb="FF0D1B2A"/>
      </bottom>
      <diagonal/>
    </border>
    <border>
      <left style="thin">
        <color rgb="FF90A4AE"/>
      </left>
      <right/>
      <top/>
      <bottom/>
      <diagonal/>
    </border>
    <border>
      <left/>
      <right/>
      <top/>
      <bottom style="thin">
        <color rgb="FF90A4AE"/>
      </bottom>
      <diagonal/>
    </border>
  </borders>
  <cellStyleXfs count="3">
    <xf numFmtId="0" fontId="0" fillId="0" borderId="0"/>
    <xf numFmtId="44" fontId="1" fillId="0" borderId="0" applyBorder="0" applyAlignment="0" applyProtection="0"/>
    <xf numFmtId="0" fontId="22" fillId="17" borderId="0" applyNumberFormat="0" applyBorder="0" applyAlignment="0" applyProtection="0"/>
  </cellStyleXfs>
  <cellXfs count="121">
    <xf numFmtId="0" fontId="0" fillId="0" borderId="0" xfId="0"/>
    <xf numFmtId="0" fontId="4" fillId="5" borderId="2" xfId="0" applyFont="1" applyFill="1" applyBorder="1" applyAlignment="1">
      <alignment horizontal="center"/>
    </xf>
    <xf numFmtId="0" fontId="4" fillId="6" borderId="2" xfId="0" applyFont="1" applyFill="1" applyBorder="1" applyAlignment="1">
      <alignment horizontal="center"/>
    </xf>
    <xf numFmtId="0" fontId="4" fillId="7" borderId="2" xfId="0" applyFont="1" applyFill="1" applyBorder="1" applyAlignment="1">
      <alignment horizontal="center"/>
    </xf>
    <xf numFmtId="0" fontId="4" fillId="8" borderId="2" xfId="0" applyFont="1" applyFill="1" applyBorder="1" applyAlignment="1">
      <alignment horizontal="center"/>
    </xf>
    <xf numFmtId="0" fontId="5" fillId="9" borderId="2" xfId="0" applyFont="1" applyFill="1" applyBorder="1" applyAlignment="1">
      <alignment horizontal="left" vertical="center"/>
    </xf>
    <xf numFmtId="164" fontId="6" fillId="9" borderId="2" xfId="0" applyNumberFormat="1" applyFont="1" applyFill="1" applyBorder="1" applyAlignment="1">
      <alignment horizontal="right" vertical="center"/>
    </xf>
    <xf numFmtId="165" fontId="6" fillId="9" borderId="2" xfId="0" applyNumberFormat="1" applyFont="1" applyFill="1" applyBorder="1" applyAlignment="1">
      <alignment horizontal="right" vertical="center"/>
    </xf>
    <xf numFmtId="166" fontId="6" fillId="9" borderId="2" xfId="0" applyNumberFormat="1" applyFont="1" applyFill="1" applyBorder="1" applyAlignment="1">
      <alignment horizontal="right" vertical="center"/>
    </xf>
    <xf numFmtId="0" fontId="7" fillId="10" borderId="2" xfId="0" applyFont="1" applyFill="1" applyBorder="1" applyAlignment="1">
      <alignment horizontal="left" vertical="center"/>
    </xf>
    <xf numFmtId="167" fontId="8" fillId="10" borderId="3" xfId="0" applyNumberFormat="1" applyFont="1" applyFill="1" applyBorder="1" applyAlignment="1">
      <alignment horizontal="right" vertical="center"/>
    </xf>
    <xf numFmtId="166" fontId="8" fillId="10" borderId="3" xfId="0" applyNumberFormat="1" applyFont="1" applyFill="1" applyBorder="1" applyAlignment="1">
      <alignment horizontal="right" vertical="center"/>
    </xf>
    <xf numFmtId="167" fontId="6" fillId="9" borderId="2" xfId="0" applyNumberFormat="1" applyFont="1" applyFill="1" applyBorder="1" applyAlignment="1">
      <alignment horizontal="right" vertical="center"/>
    </xf>
    <xf numFmtId="0" fontId="0" fillId="3" borderId="2" xfId="0" applyFill="1" applyBorder="1"/>
    <xf numFmtId="169" fontId="6" fillId="9" borderId="2" xfId="0" applyNumberFormat="1" applyFont="1" applyFill="1" applyBorder="1" applyAlignment="1">
      <alignment horizontal="right" vertical="center"/>
    </xf>
    <xf numFmtId="168" fontId="6" fillId="9" borderId="2" xfId="0" applyNumberFormat="1" applyFont="1" applyFill="1" applyBorder="1" applyAlignment="1">
      <alignment horizontal="right" vertical="center"/>
    </xf>
    <xf numFmtId="0" fontId="12" fillId="3" borderId="2" xfId="0" applyFont="1" applyFill="1" applyBorder="1" applyAlignment="1">
      <alignment horizontal="center" vertical="center"/>
    </xf>
    <xf numFmtId="0" fontId="12" fillId="9" borderId="2" xfId="0" applyFont="1" applyFill="1" applyBorder="1" applyAlignment="1">
      <alignment horizontal="left" vertical="center" wrapText="1"/>
    </xf>
    <xf numFmtId="164" fontId="13" fillId="10" borderId="3" xfId="0" applyNumberFormat="1" applyFont="1" applyFill="1" applyBorder="1" applyAlignment="1">
      <alignment horizontal="right" vertical="center"/>
    </xf>
    <xf numFmtId="0" fontId="12" fillId="10" borderId="2" xfId="0" applyFont="1" applyFill="1" applyBorder="1" applyAlignment="1">
      <alignment horizontal="center" vertical="center"/>
    </xf>
    <xf numFmtId="0" fontId="12" fillId="10" borderId="2" xfId="0" applyFont="1" applyFill="1" applyBorder="1" applyAlignment="1">
      <alignment horizontal="left" vertical="center" wrapText="1"/>
    </xf>
    <xf numFmtId="0" fontId="14" fillId="13" borderId="2" xfId="0" applyFont="1" applyFill="1" applyBorder="1" applyAlignment="1">
      <alignment horizontal="left" vertical="center"/>
    </xf>
    <xf numFmtId="0" fontId="12" fillId="13" borderId="2" xfId="0" applyFont="1" applyFill="1" applyBorder="1" applyAlignment="1">
      <alignment horizontal="center" vertical="center"/>
    </xf>
    <xf numFmtId="0" fontId="12" fillId="13" borderId="2" xfId="0" applyFont="1" applyFill="1" applyBorder="1" applyAlignment="1">
      <alignment horizontal="left" vertical="center" wrapText="1"/>
    </xf>
    <xf numFmtId="0" fontId="15" fillId="14" borderId="2" xfId="0" applyFont="1" applyFill="1" applyBorder="1" applyAlignment="1">
      <alignment horizontal="left" vertical="center"/>
    </xf>
    <xf numFmtId="0" fontId="12" fillId="14" borderId="2" xfId="0" applyFont="1" applyFill="1" applyBorder="1" applyAlignment="1">
      <alignment horizontal="center" vertical="center"/>
    </xf>
    <xf numFmtId="0" fontId="12" fillId="14" borderId="2" xfId="0" applyFont="1" applyFill="1" applyBorder="1" applyAlignment="1">
      <alignment horizontal="left" vertical="center" wrapText="1"/>
    </xf>
    <xf numFmtId="166" fontId="11" fillId="12" borderId="2" xfId="0" applyNumberFormat="1" applyFont="1" applyFill="1" applyBorder="1" applyAlignment="1">
      <alignment horizontal="right" vertical="center"/>
    </xf>
    <xf numFmtId="166" fontId="13" fillId="10" borderId="3" xfId="0" applyNumberFormat="1" applyFont="1" applyFill="1" applyBorder="1" applyAlignment="1">
      <alignment horizontal="right" vertical="center"/>
    </xf>
    <xf numFmtId="0" fontId="6" fillId="9" borderId="2" xfId="0" applyFont="1" applyFill="1" applyBorder="1" applyAlignment="1">
      <alignment horizontal="left" vertical="center"/>
    </xf>
    <xf numFmtId="0" fontId="12" fillId="9" borderId="2" xfId="0" applyFont="1" applyFill="1" applyBorder="1" applyAlignment="1">
      <alignment horizontal="center" vertical="center"/>
    </xf>
    <xf numFmtId="167" fontId="13" fillId="10" borderId="3" xfId="0" applyNumberFormat="1" applyFont="1" applyFill="1" applyBorder="1" applyAlignment="1">
      <alignment horizontal="right" vertical="center"/>
    </xf>
    <xf numFmtId="168" fontId="13" fillId="10" borderId="3" xfId="0" applyNumberFormat="1" applyFont="1" applyFill="1" applyBorder="1" applyAlignment="1">
      <alignment horizontal="right" vertical="center"/>
    </xf>
    <xf numFmtId="0" fontId="16" fillId="3" borderId="2" xfId="0" applyFont="1" applyFill="1" applyBorder="1" applyAlignment="1">
      <alignment horizontal="left" vertical="center"/>
    </xf>
    <xf numFmtId="166" fontId="16" fillId="3" borderId="2" xfId="0" applyNumberFormat="1" applyFont="1" applyFill="1" applyBorder="1" applyAlignment="1">
      <alignment horizontal="right" vertical="center"/>
    </xf>
    <xf numFmtId="0" fontId="12" fillId="3" borderId="2" xfId="0" applyFont="1" applyFill="1" applyBorder="1" applyAlignment="1">
      <alignment horizontal="left" vertical="center" wrapText="1"/>
    </xf>
    <xf numFmtId="167" fontId="11" fillId="12" borderId="2" xfId="0" applyNumberFormat="1" applyFont="1" applyFill="1" applyBorder="1" applyAlignment="1">
      <alignment horizontal="right" vertical="center"/>
    </xf>
    <xf numFmtId="166" fontId="5" fillId="9" borderId="2" xfId="0" applyNumberFormat="1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left" vertical="center"/>
    </xf>
    <xf numFmtId="168" fontId="5" fillId="3" borderId="2" xfId="0" applyNumberFormat="1" applyFont="1" applyFill="1" applyBorder="1" applyAlignment="1">
      <alignment horizontal="right" vertical="center"/>
    </xf>
    <xf numFmtId="166" fontId="13" fillId="10" borderId="2" xfId="0" applyNumberFormat="1" applyFont="1" applyFill="1" applyBorder="1" applyAlignment="1">
      <alignment horizontal="right" vertical="center"/>
    </xf>
    <xf numFmtId="167" fontId="5" fillId="3" borderId="2" xfId="0" applyNumberFormat="1" applyFont="1" applyFill="1" applyBorder="1" applyAlignment="1">
      <alignment horizontal="right"/>
    </xf>
    <xf numFmtId="166" fontId="16" fillId="9" borderId="2" xfId="0" applyNumberFormat="1" applyFont="1" applyFill="1" applyBorder="1" applyAlignment="1">
      <alignment horizontal="right" vertical="center"/>
    </xf>
    <xf numFmtId="166" fontId="18" fillId="9" borderId="2" xfId="0" applyNumberFormat="1" applyFont="1" applyFill="1" applyBorder="1" applyAlignment="1">
      <alignment horizontal="right" vertical="center"/>
    </xf>
    <xf numFmtId="49" fontId="18" fillId="13" borderId="2" xfId="0" applyNumberFormat="1" applyFont="1" applyFill="1" applyBorder="1" applyAlignment="1">
      <alignment horizontal="center"/>
    </xf>
    <xf numFmtId="167" fontId="19" fillId="16" borderId="2" xfId="0" applyNumberFormat="1" applyFont="1" applyFill="1" applyBorder="1" applyAlignment="1">
      <alignment horizontal="right"/>
    </xf>
    <xf numFmtId="166" fontId="5" fillId="12" borderId="2" xfId="0" applyNumberFormat="1" applyFont="1" applyFill="1" applyBorder="1" applyAlignment="1">
      <alignment horizontal="right" vertical="center"/>
    </xf>
    <xf numFmtId="166" fontId="16" fillId="12" borderId="2" xfId="0" applyNumberFormat="1" applyFont="1" applyFill="1" applyBorder="1" applyAlignment="1">
      <alignment horizontal="right" vertical="center"/>
    </xf>
    <xf numFmtId="166" fontId="18" fillId="12" borderId="2" xfId="0" applyNumberFormat="1" applyFont="1" applyFill="1" applyBorder="1" applyAlignment="1">
      <alignment horizontal="right" vertical="center"/>
    </xf>
    <xf numFmtId="49" fontId="20" fillId="16" borderId="2" xfId="0" applyNumberFormat="1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left" vertical="center"/>
    </xf>
    <xf numFmtId="0" fontId="4" fillId="11" borderId="2" xfId="0" applyFont="1" applyFill="1" applyBorder="1" applyAlignment="1">
      <alignment horizontal="center"/>
    </xf>
    <xf numFmtId="167" fontId="5" fillId="3" borderId="2" xfId="0" applyNumberFormat="1" applyFont="1" applyFill="1" applyBorder="1" applyAlignment="1">
      <alignment horizontal="right" vertical="center"/>
    </xf>
    <xf numFmtId="169" fontId="5" fillId="3" borderId="2" xfId="0" applyNumberFormat="1" applyFont="1" applyFill="1" applyBorder="1" applyAlignment="1">
      <alignment horizontal="right" vertical="center"/>
    </xf>
    <xf numFmtId="0" fontId="3" fillId="3" borderId="2" xfId="0" applyFont="1" applyFill="1" applyBorder="1" applyAlignment="1">
      <alignment horizontal="left" vertical="top" wrapText="1"/>
    </xf>
    <xf numFmtId="0" fontId="3" fillId="9" borderId="2" xfId="0" applyFont="1" applyFill="1" applyBorder="1" applyAlignment="1">
      <alignment horizontal="left" vertical="top" wrapText="1"/>
    </xf>
    <xf numFmtId="0" fontId="7" fillId="9" borderId="2" xfId="0" applyFont="1" applyFill="1" applyBorder="1" applyAlignment="1">
      <alignment horizontal="left" vertical="center"/>
    </xf>
    <xf numFmtId="166" fontId="6" fillId="3" borderId="2" xfId="0" applyNumberFormat="1" applyFont="1" applyFill="1" applyBorder="1" applyAlignment="1">
      <alignment horizontal="right" vertical="center"/>
    </xf>
    <xf numFmtId="164" fontId="6" fillId="3" borderId="2" xfId="0" applyNumberFormat="1" applyFont="1" applyFill="1" applyBorder="1" applyAlignment="1">
      <alignment horizontal="right" vertical="center"/>
    </xf>
    <xf numFmtId="164" fontId="5" fillId="10" borderId="3" xfId="0" applyNumberFormat="1" applyFont="1" applyFill="1" applyBorder="1" applyAlignment="1">
      <alignment horizontal="right" vertical="center"/>
    </xf>
    <xf numFmtId="167" fontId="5" fillId="10" borderId="3" xfId="0" applyNumberFormat="1" applyFont="1" applyFill="1" applyBorder="1" applyAlignment="1">
      <alignment horizontal="right" vertical="center"/>
    </xf>
    <xf numFmtId="168" fontId="5" fillId="10" borderId="3" xfId="0" applyNumberFormat="1" applyFont="1" applyFill="1" applyBorder="1" applyAlignment="1">
      <alignment horizontal="right" vertical="center"/>
    </xf>
    <xf numFmtId="166" fontId="5" fillId="10" borderId="3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167" fontId="4" fillId="2" borderId="2" xfId="0" applyNumberFormat="1" applyFont="1" applyFill="1" applyBorder="1" applyAlignment="1">
      <alignment horizontal="center"/>
    </xf>
    <xf numFmtId="0" fontId="7" fillId="12" borderId="2" xfId="0" applyFont="1" applyFill="1" applyBorder="1" applyAlignment="1">
      <alignment horizontal="left"/>
    </xf>
    <xf numFmtId="166" fontId="21" fillId="14" borderId="2" xfId="0" applyNumberFormat="1" applyFont="1" applyFill="1" applyBorder="1" applyAlignment="1">
      <alignment horizontal="right"/>
    </xf>
    <xf numFmtId="166" fontId="21" fillId="3" borderId="2" xfId="0" applyNumberFormat="1" applyFont="1" applyFill="1" applyBorder="1" applyAlignment="1">
      <alignment horizontal="right"/>
    </xf>
    <xf numFmtId="166" fontId="21" fillId="13" borderId="2" xfId="0" applyNumberFormat="1" applyFont="1" applyFill="1" applyBorder="1" applyAlignment="1">
      <alignment horizontal="right"/>
    </xf>
    <xf numFmtId="0" fontId="9" fillId="3" borderId="0" xfId="0" applyFont="1" applyFill="1" applyAlignment="1">
      <alignment vertical="center"/>
    </xf>
    <xf numFmtId="0" fontId="24" fillId="3" borderId="0" xfId="0" applyFont="1" applyFill="1" applyAlignment="1">
      <alignment vertical="center"/>
    </xf>
    <xf numFmtId="0" fontId="27" fillId="9" borderId="2" xfId="0" applyFont="1" applyFill="1" applyBorder="1" applyAlignment="1">
      <alignment horizontal="left" vertical="center" wrapText="1"/>
    </xf>
    <xf numFmtId="170" fontId="11" fillId="12" borderId="2" xfId="0" applyNumberFormat="1" applyFont="1" applyFill="1" applyBorder="1" applyAlignment="1">
      <alignment horizontal="right" vertical="center"/>
    </xf>
    <xf numFmtId="171" fontId="1" fillId="0" borderId="0" xfId="1" applyNumberFormat="1"/>
    <xf numFmtId="166" fontId="14" fillId="13" borderId="3" xfId="0" applyNumberFormat="1" applyFont="1" applyFill="1" applyBorder="1" applyAlignment="1">
      <alignment horizontal="right" vertical="center"/>
    </xf>
    <xf numFmtId="0" fontId="27" fillId="14" borderId="2" xfId="0" applyFont="1" applyFill="1" applyBorder="1" applyAlignment="1">
      <alignment horizontal="left" vertical="center" wrapText="1"/>
    </xf>
    <xf numFmtId="166" fontId="15" fillId="14" borderId="3" xfId="0" applyNumberFormat="1" applyFont="1" applyFill="1" applyBorder="1" applyAlignment="1">
      <alignment horizontal="right" vertical="center"/>
    </xf>
    <xf numFmtId="170" fontId="15" fillId="14" borderId="3" xfId="0" applyNumberFormat="1" applyFont="1" applyFill="1" applyBorder="1" applyAlignment="1">
      <alignment horizontal="right" vertical="center"/>
    </xf>
    <xf numFmtId="166" fontId="29" fillId="10" borderId="3" xfId="0" applyNumberFormat="1" applyFont="1" applyFill="1" applyBorder="1" applyAlignment="1">
      <alignment horizontal="right" vertical="center"/>
    </xf>
    <xf numFmtId="170" fontId="30" fillId="9" borderId="2" xfId="0" applyNumberFormat="1" applyFont="1" applyFill="1" applyBorder="1" applyAlignment="1">
      <alignment horizontal="right" vertical="center"/>
    </xf>
    <xf numFmtId="0" fontId="27" fillId="10" borderId="2" xfId="0" applyFont="1" applyFill="1" applyBorder="1" applyAlignment="1">
      <alignment horizontal="left" vertical="center" wrapText="1"/>
    </xf>
    <xf numFmtId="0" fontId="27" fillId="3" borderId="2" xfId="0" applyFont="1" applyFill="1" applyBorder="1" applyAlignment="1">
      <alignment horizontal="left" vertical="center" wrapText="1"/>
    </xf>
    <xf numFmtId="170" fontId="13" fillId="10" borderId="3" xfId="0" applyNumberFormat="1" applyFont="1" applyFill="1" applyBorder="1" applyAlignment="1">
      <alignment horizontal="right" vertical="center"/>
    </xf>
    <xf numFmtId="0" fontId="33" fillId="0" borderId="0" xfId="0" applyFont="1" applyAlignment="1">
      <alignment horizontal="right"/>
    </xf>
    <xf numFmtId="166" fontId="34" fillId="9" borderId="2" xfId="0" applyNumberFormat="1" applyFont="1" applyFill="1" applyBorder="1" applyAlignment="1">
      <alignment horizontal="right" vertical="center"/>
    </xf>
    <xf numFmtId="49" fontId="35" fillId="18" borderId="2" xfId="2" applyNumberFormat="1" applyFont="1" applyFill="1" applyBorder="1" applyAlignment="1">
      <alignment horizontal="center"/>
    </xf>
    <xf numFmtId="169" fontId="36" fillId="3" borderId="2" xfId="0" applyNumberFormat="1" applyFont="1" applyFill="1" applyBorder="1" applyAlignment="1">
      <alignment horizontal="right" vertical="center"/>
    </xf>
    <xf numFmtId="167" fontId="36" fillId="3" borderId="2" xfId="0" applyNumberFormat="1" applyFont="1" applyFill="1" applyBorder="1" applyAlignment="1">
      <alignment horizontal="right" vertical="center"/>
    </xf>
    <xf numFmtId="0" fontId="37" fillId="9" borderId="2" xfId="0" applyFont="1" applyFill="1" applyBorder="1" applyAlignment="1">
      <alignment horizontal="left" vertical="center"/>
    </xf>
    <xf numFmtId="0" fontId="12" fillId="10" borderId="4" xfId="0" applyFont="1" applyFill="1" applyBorder="1" applyAlignment="1">
      <alignment horizontal="left" vertical="center" wrapText="1"/>
    </xf>
    <xf numFmtId="0" fontId="12" fillId="10" borderId="0" xfId="0" applyFont="1" applyFill="1" applyAlignment="1">
      <alignment horizontal="left" vertical="center" wrapText="1"/>
    </xf>
    <xf numFmtId="0" fontId="12" fillId="3" borderId="4" xfId="0" applyFont="1" applyFill="1" applyBorder="1" applyAlignment="1">
      <alignment horizontal="left" vertical="center" wrapText="1"/>
    </xf>
    <xf numFmtId="0" fontId="12" fillId="3" borderId="0" xfId="0" applyFont="1" applyFill="1" applyAlignment="1">
      <alignment horizontal="left" vertical="center" wrapText="1"/>
    </xf>
    <xf numFmtId="0" fontId="4" fillId="15" borderId="5" xfId="0" applyFont="1" applyFill="1" applyBorder="1" applyAlignment="1">
      <alignment horizontal="left" vertical="center"/>
    </xf>
    <xf numFmtId="0" fontId="32" fillId="2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left" vertical="center"/>
    </xf>
    <xf numFmtId="0" fontId="4" fillId="11" borderId="0" xfId="0" applyFont="1" applyFill="1" applyAlignment="1">
      <alignment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0" fillId="0" borderId="0" xfId="0"/>
    <xf numFmtId="0" fontId="26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4" fillId="11" borderId="0" xfId="0" applyFont="1" applyFill="1" applyAlignment="1">
      <alignment horizontal="left" vertical="center"/>
    </xf>
    <xf numFmtId="0" fontId="28" fillId="5" borderId="0" xfId="0" applyFont="1" applyFill="1" applyAlignment="1">
      <alignment horizontal="left" vertical="center"/>
    </xf>
    <xf numFmtId="0" fontId="4" fillId="5" borderId="0" xfId="0" applyFont="1" applyFill="1" applyAlignment="1">
      <alignment horizontal="left" vertical="center"/>
    </xf>
    <xf numFmtId="0" fontId="24" fillId="3" borderId="0" xfId="0" applyFont="1" applyFill="1" applyAlignment="1">
      <alignment horizontal="left" vertical="center"/>
    </xf>
    <xf numFmtId="0" fontId="9" fillId="3" borderId="0" xfId="0" applyFont="1" applyFill="1" applyAlignment="1">
      <alignment horizontal="left" vertical="center"/>
    </xf>
    <xf numFmtId="0" fontId="9" fillId="3" borderId="0" xfId="0" applyFont="1" applyFill="1" applyAlignment="1">
      <alignment horizontal="right" vertical="center"/>
    </xf>
    <xf numFmtId="0" fontId="25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8" fillId="4" borderId="0" xfId="0" applyFont="1" applyFill="1" applyAlignment="1">
      <alignment horizontal="left" vertical="center"/>
    </xf>
    <xf numFmtId="0" fontId="4" fillId="15" borderId="0" xfId="0" applyFont="1" applyFill="1" applyAlignment="1">
      <alignment horizontal="left" vertical="center"/>
    </xf>
    <xf numFmtId="0" fontId="32" fillId="2" borderId="2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28" fillId="11" borderId="0" xfId="0" applyFont="1" applyFill="1" applyAlignment="1">
      <alignment horizontal="left" vertical="center"/>
    </xf>
    <xf numFmtId="0" fontId="28" fillId="2" borderId="0" xfId="0" applyFont="1" applyFill="1" applyAlignment="1">
      <alignment horizontal="left" vertical="center"/>
    </xf>
  </cellXfs>
  <cellStyles count="3">
    <cellStyle name="Bad" xfId="2" builtinId="27"/>
    <cellStyle name="Currency" xfId="1" builtinId="4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B6B1B"/>
      <rgbColor rgb="FF000080"/>
      <rgbColor rgb="FF808000"/>
      <rgbColor rgb="FF800080"/>
      <rgbColor rgb="FF00695C"/>
      <rgbColor rgb="FFF9F9F9"/>
      <rgbColor rgb="FF878787"/>
      <rgbColor rgb="FF888888"/>
      <rgbColor rgb="FF993366"/>
      <rgbColor rgb="FFFFFDE7"/>
      <rgbColor rgb="FFE3F2FD"/>
      <rgbColor rgb="FF660066"/>
      <rgbColor rgb="FFFF8080"/>
      <rgbColor rgb="FF1565C0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8F5E9"/>
      <rgbColor rgb="FFF5F5F5"/>
      <rgbColor rgb="FFFFF3E0"/>
      <rgbColor rgb="FFFAFAFA"/>
      <rgbColor rgb="FFFF99CC"/>
      <rgbColor rgb="FFCC99FF"/>
      <rgbColor rgb="FFFFEBEE"/>
      <rgbColor rgb="FF3366FF"/>
      <rgbColor rgb="FF33CCCC"/>
      <rgbColor rgb="FF99CC00"/>
      <rgbColor rgb="FFFFCC00"/>
      <rgbColor rgb="FFFF9900"/>
      <rgbColor rgb="FFE65100"/>
      <rgbColor rgb="FF546E7A"/>
      <rgbColor rgb="FF90A4AE"/>
      <rgbColor rgb="FF003366"/>
      <rgbColor rgb="FF2E7D32"/>
      <rgbColor rgb="FF0D1B2A"/>
      <rgbColor rgb="FF1B5E20"/>
      <rgbColor rgb="FFB71C1C"/>
      <rgbColor rgb="FF993366"/>
      <rgbColor rgb="FF283593"/>
      <rgbColor rgb="FF37474F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title>
      <c:tx>
        <c:rich>
          <a:bodyPr rot="0"/>
          <a:lstStyle/>
          <a:p>
            <a:pPr>
              <a:defRPr sz="1800" b="1" strike="noStrike" spc="-1">
                <a:solidFill>
                  <a:srgbClr val="000000"/>
                </a:solidFill>
                <a:latin typeface="Calibri"/>
              </a:defRPr>
            </a:pPr>
            <a:r>
              <a:rPr lang="en-IN" sz="1800" b="1" strike="noStrike" spc="-1">
                <a:solidFill>
                  <a:srgbClr val="000000"/>
                </a:solidFill>
                <a:latin typeface="Calibri"/>
              </a:rPr>
              <a:t>GatiGo Cost-Volume-Profit Chart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'CVP Table'!$B$3</c:f>
              <c:strCache>
                <c:ptCount val="1"/>
                <c:pt idx="0">
                  <c:v>Revenue</c:v>
                </c:pt>
              </c:strCache>
            </c:strRef>
          </c:tx>
          <c:spPr>
            <a:ln w="24840">
              <a:solidFill>
                <a:srgbClr val="1565C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'CVP Table'!$A$4:$A$25</c:f>
              <c:numCache>
                <c:formatCode>#,##0;\(#,##0\);\-</c:formatCode>
                <c:ptCount val="22"/>
                <c:pt idx="0">
                  <c:v>1000</c:v>
                </c:pt>
                <c:pt idx="1">
                  <c:v>2000</c:v>
                </c:pt>
                <c:pt idx="2">
                  <c:v>3000</c:v>
                </c:pt>
                <c:pt idx="3">
                  <c:v>4000</c:v>
                </c:pt>
                <c:pt idx="4">
                  <c:v>4680</c:v>
                </c:pt>
                <c:pt idx="5">
                  <c:v>4800</c:v>
                </c:pt>
                <c:pt idx="6">
                  <c:v>5000</c:v>
                </c:pt>
                <c:pt idx="7">
                  <c:v>5980</c:v>
                </c:pt>
                <c:pt idx="8">
                  <c:v>6000</c:v>
                </c:pt>
                <c:pt idx="9">
                  <c:v>7000</c:v>
                </c:pt>
                <c:pt idx="10">
                  <c:v>8000</c:v>
                </c:pt>
                <c:pt idx="11">
                  <c:v>9000</c:v>
                </c:pt>
                <c:pt idx="12">
                  <c:v>10000</c:v>
                </c:pt>
                <c:pt idx="13">
                  <c:v>11000</c:v>
                </c:pt>
                <c:pt idx="14">
                  <c:v>12000</c:v>
                </c:pt>
                <c:pt idx="15">
                  <c:v>13000</c:v>
                </c:pt>
                <c:pt idx="16">
                  <c:v>14000</c:v>
                </c:pt>
                <c:pt idx="17">
                  <c:v>15000</c:v>
                </c:pt>
                <c:pt idx="18">
                  <c:v>16000</c:v>
                </c:pt>
                <c:pt idx="19">
                  <c:v>18000</c:v>
                </c:pt>
                <c:pt idx="20">
                  <c:v>20000</c:v>
                </c:pt>
                <c:pt idx="21">
                  <c:v>25000</c:v>
                </c:pt>
              </c:numCache>
            </c:numRef>
          </c:cat>
          <c:val>
            <c:numRef>
              <c:f>'CVP Table'!$B$4:$B$25</c:f>
              <c:numCache>
                <c:formatCode>\₹#,##0;"(₹"#,##0\);\-</c:formatCode>
                <c:ptCount val="22"/>
                <c:pt idx="0">
                  <c:v>19067.796610169491</c:v>
                </c:pt>
                <c:pt idx="1">
                  <c:v>38135.593220338982</c:v>
                </c:pt>
                <c:pt idx="2">
                  <c:v>57203.389830508473</c:v>
                </c:pt>
                <c:pt idx="3">
                  <c:v>76271.186440677964</c:v>
                </c:pt>
                <c:pt idx="4">
                  <c:v>89237.288135593219</c:v>
                </c:pt>
                <c:pt idx="5">
                  <c:v>91525.423728813563</c:v>
                </c:pt>
                <c:pt idx="6">
                  <c:v>95338.983050847455</c:v>
                </c:pt>
                <c:pt idx="7">
                  <c:v>114025.42372881356</c:v>
                </c:pt>
                <c:pt idx="8">
                  <c:v>114406.77966101695</c:v>
                </c:pt>
                <c:pt idx="9">
                  <c:v>133474.57627118644</c:v>
                </c:pt>
                <c:pt idx="10">
                  <c:v>152542.37288135593</c:v>
                </c:pt>
                <c:pt idx="11">
                  <c:v>171610.16949152542</c:v>
                </c:pt>
                <c:pt idx="12">
                  <c:v>190677.96610169491</c:v>
                </c:pt>
                <c:pt idx="13">
                  <c:v>209745.7627118644</c:v>
                </c:pt>
                <c:pt idx="14">
                  <c:v>228813.55932203389</c:v>
                </c:pt>
                <c:pt idx="15">
                  <c:v>247881.35593220338</c:v>
                </c:pt>
                <c:pt idx="16">
                  <c:v>266949.15254237287</c:v>
                </c:pt>
                <c:pt idx="17">
                  <c:v>286016.94915254239</c:v>
                </c:pt>
                <c:pt idx="18">
                  <c:v>305084.74576271186</c:v>
                </c:pt>
                <c:pt idx="19">
                  <c:v>343220.33898305084</c:v>
                </c:pt>
                <c:pt idx="20">
                  <c:v>381355.93220338982</c:v>
                </c:pt>
                <c:pt idx="21">
                  <c:v>476694.9152542373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FBD7-4B32-B69E-CE1D0F6DC956}"/>
            </c:ext>
          </c:extLst>
        </c:ser>
        <c:ser>
          <c:idx val="1"/>
          <c:order val="1"/>
          <c:tx>
            <c:strRef>
              <c:f>'CVP Table'!$E$3</c:f>
              <c:strCache>
                <c:ptCount val="1"/>
                <c:pt idx="0">
                  <c:v>Total Cost</c:v>
                </c:pt>
              </c:strCache>
            </c:strRef>
          </c:tx>
          <c:spPr>
            <a:ln w="24840">
              <a:solidFill>
                <a:srgbClr val="B71C1C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'CVP Table'!$A$4:$A$25</c:f>
              <c:numCache>
                <c:formatCode>#,##0;\(#,##0\);\-</c:formatCode>
                <c:ptCount val="22"/>
                <c:pt idx="0">
                  <c:v>1000</c:v>
                </c:pt>
                <c:pt idx="1">
                  <c:v>2000</c:v>
                </c:pt>
                <c:pt idx="2">
                  <c:v>3000</c:v>
                </c:pt>
                <c:pt idx="3">
                  <c:v>4000</c:v>
                </c:pt>
                <c:pt idx="4">
                  <c:v>4680</c:v>
                </c:pt>
                <c:pt idx="5">
                  <c:v>4800</c:v>
                </c:pt>
                <c:pt idx="6">
                  <c:v>5000</c:v>
                </c:pt>
                <c:pt idx="7">
                  <c:v>5980</c:v>
                </c:pt>
                <c:pt idx="8">
                  <c:v>6000</c:v>
                </c:pt>
                <c:pt idx="9">
                  <c:v>7000</c:v>
                </c:pt>
                <c:pt idx="10">
                  <c:v>8000</c:v>
                </c:pt>
                <c:pt idx="11">
                  <c:v>9000</c:v>
                </c:pt>
                <c:pt idx="12">
                  <c:v>10000</c:v>
                </c:pt>
                <c:pt idx="13">
                  <c:v>11000</c:v>
                </c:pt>
                <c:pt idx="14">
                  <c:v>12000</c:v>
                </c:pt>
                <c:pt idx="15">
                  <c:v>13000</c:v>
                </c:pt>
                <c:pt idx="16">
                  <c:v>14000</c:v>
                </c:pt>
                <c:pt idx="17">
                  <c:v>15000</c:v>
                </c:pt>
                <c:pt idx="18">
                  <c:v>16000</c:v>
                </c:pt>
                <c:pt idx="19">
                  <c:v>18000</c:v>
                </c:pt>
                <c:pt idx="20">
                  <c:v>20000</c:v>
                </c:pt>
                <c:pt idx="21">
                  <c:v>25000</c:v>
                </c:pt>
              </c:numCache>
            </c:numRef>
          </c:cat>
          <c:val>
            <c:numRef>
              <c:f>'CVP Table'!$E$4:$E$25</c:f>
              <c:numCache>
                <c:formatCode>\₹#,##0;"(₹"#,##0\);\-</c:formatCode>
                <c:ptCount val="22"/>
                <c:pt idx="0">
                  <c:v>523500</c:v>
                </c:pt>
                <c:pt idx="1">
                  <c:v>578000</c:v>
                </c:pt>
                <c:pt idx="2">
                  <c:v>632500</c:v>
                </c:pt>
                <c:pt idx="3">
                  <c:v>687000</c:v>
                </c:pt>
                <c:pt idx="4">
                  <c:v>724060</c:v>
                </c:pt>
                <c:pt idx="5">
                  <c:v>730600</c:v>
                </c:pt>
                <c:pt idx="6">
                  <c:v>741500</c:v>
                </c:pt>
                <c:pt idx="7">
                  <c:v>794910</c:v>
                </c:pt>
                <c:pt idx="8">
                  <c:v>796000</c:v>
                </c:pt>
                <c:pt idx="9">
                  <c:v>850500</c:v>
                </c:pt>
                <c:pt idx="10">
                  <c:v>905000</c:v>
                </c:pt>
                <c:pt idx="11">
                  <c:v>959500</c:v>
                </c:pt>
                <c:pt idx="12">
                  <c:v>1014000</c:v>
                </c:pt>
                <c:pt idx="13">
                  <c:v>1068500</c:v>
                </c:pt>
                <c:pt idx="14">
                  <c:v>1123000</c:v>
                </c:pt>
                <c:pt idx="15">
                  <c:v>1177500</c:v>
                </c:pt>
                <c:pt idx="16">
                  <c:v>1232000</c:v>
                </c:pt>
                <c:pt idx="17">
                  <c:v>1286500</c:v>
                </c:pt>
                <c:pt idx="18">
                  <c:v>1341000</c:v>
                </c:pt>
                <c:pt idx="19">
                  <c:v>1450000</c:v>
                </c:pt>
                <c:pt idx="20">
                  <c:v>1559000</c:v>
                </c:pt>
                <c:pt idx="21">
                  <c:v>1831500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FBD7-4B32-B69E-CE1D0F6DC956}"/>
            </c:ext>
          </c:extLst>
        </c:ser>
        <c:ser>
          <c:idx val="2"/>
          <c:order val="2"/>
          <c:tx>
            <c:strRef>
              <c:f>'CVP Table'!$D$3</c:f>
              <c:strCache>
                <c:ptCount val="1"/>
                <c:pt idx="0">
                  <c:v>Fixed Cost</c:v>
                </c:pt>
              </c:strCache>
            </c:strRef>
          </c:tx>
          <c:spPr>
            <a:ln w="18000">
              <a:solidFill>
                <a:srgbClr val="E651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'CVP Table'!$A$4:$A$25</c:f>
              <c:numCache>
                <c:formatCode>#,##0;\(#,##0\);\-</c:formatCode>
                <c:ptCount val="22"/>
                <c:pt idx="0">
                  <c:v>1000</c:v>
                </c:pt>
                <c:pt idx="1">
                  <c:v>2000</c:v>
                </c:pt>
                <c:pt idx="2">
                  <c:v>3000</c:v>
                </c:pt>
                <c:pt idx="3">
                  <c:v>4000</c:v>
                </c:pt>
                <c:pt idx="4">
                  <c:v>4680</c:v>
                </c:pt>
                <c:pt idx="5">
                  <c:v>4800</c:v>
                </c:pt>
                <c:pt idx="6">
                  <c:v>5000</c:v>
                </c:pt>
                <c:pt idx="7">
                  <c:v>5980</c:v>
                </c:pt>
                <c:pt idx="8">
                  <c:v>6000</c:v>
                </c:pt>
                <c:pt idx="9">
                  <c:v>7000</c:v>
                </c:pt>
                <c:pt idx="10">
                  <c:v>8000</c:v>
                </c:pt>
                <c:pt idx="11">
                  <c:v>9000</c:v>
                </c:pt>
                <c:pt idx="12">
                  <c:v>10000</c:v>
                </c:pt>
                <c:pt idx="13">
                  <c:v>11000</c:v>
                </c:pt>
                <c:pt idx="14">
                  <c:v>12000</c:v>
                </c:pt>
                <c:pt idx="15">
                  <c:v>13000</c:v>
                </c:pt>
                <c:pt idx="16">
                  <c:v>14000</c:v>
                </c:pt>
                <c:pt idx="17">
                  <c:v>15000</c:v>
                </c:pt>
                <c:pt idx="18">
                  <c:v>16000</c:v>
                </c:pt>
                <c:pt idx="19">
                  <c:v>18000</c:v>
                </c:pt>
                <c:pt idx="20">
                  <c:v>20000</c:v>
                </c:pt>
                <c:pt idx="21">
                  <c:v>25000</c:v>
                </c:pt>
              </c:numCache>
            </c:numRef>
          </c:cat>
          <c:val>
            <c:numRef>
              <c:f>'CVP Table'!$D$4:$D$25</c:f>
              <c:numCache>
                <c:formatCode>\₹#,##0;"(₹"#,##0\);\-</c:formatCode>
                <c:ptCount val="22"/>
                <c:pt idx="0">
                  <c:v>469000</c:v>
                </c:pt>
                <c:pt idx="1">
                  <c:v>469000</c:v>
                </c:pt>
                <c:pt idx="2">
                  <c:v>469000</c:v>
                </c:pt>
                <c:pt idx="3">
                  <c:v>469000</c:v>
                </c:pt>
                <c:pt idx="4">
                  <c:v>469000</c:v>
                </c:pt>
                <c:pt idx="5">
                  <c:v>469000</c:v>
                </c:pt>
                <c:pt idx="6">
                  <c:v>469000</c:v>
                </c:pt>
                <c:pt idx="7">
                  <c:v>469000</c:v>
                </c:pt>
                <c:pt idx="8">
                  <c:v>469000</c:v>
                </c:pt>
                <c:pt idx="9">
                  <c:v>469000</c:v>
                </c:pt>
                <c:pt idx="10">
                  <c:v>469000</c:v>
                </c:pt>
                <c:pt idx="11">
                  <c:v>469000</c:v>
                </c:pt>
                <c:pt idx="12">
                  <c:v>469000</c:v>
                </c:pt>
                <c:pt idx="13">
                  <c:v>469000</c:v>
                </c:pt>
                <c:pt idx="14">
                  <c:v>469000</c:v>
                </c:pt>
                <c:pt idx="15">
                  <c:v>469000</c:v>
                </c:pt>
                <c:pt idx="16">
                  <c:v>469000</c:v>
                </c:pt>
                <c:pt idx="17">
                  <c:v>469000</c:v>
                </c:pt>
                <c:pt idx="18">
                  <c:v>469000</c:v>
                </c:pt>
                <c:pt idx="19">
                  <c:v>469000</c:v>
                </c:pt>
                <c:pt idx="20">
                  <c:v>469000</c:v>
                </c:pt>
                <c:pt idx="21">
                  <c:v>469000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FBD7-4B32-B69E-CE1D0F6DC9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67467839"/>
        <c:axId val="97473585"/>
      </c:lineChart>
      <c:catAx>
        <c:axId val="67467839"/>
        <c:scaling>
          <c:orientation val="minMax"/>
        </c:scaling>
        <c:delete val="0"/>
        <c:axPos val="b"/>
        <c:numFmt formatCode="#,##0;\(#,##0\);\-" sourceLinked="0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97473585"/>
        <c:crosses val="autoZero"/>
        <c:auto val="1"/>
        <c:lblAlgn val="ctr"/>
        <c:lblOffset val="100"/>
        <c:noMultiLvlLbl val="0"/>
      </c:catAx>
      <c:valAx>
        <c:axId val="97473585"/>
        <c:scaling>
          <c:orientation val="minMax"/>
        </c:scaling>
        <c:delete val="0"/>
        <c:axPos val="l"/>
        <c:numFmt formatCode="\₹#,##0;&quot;(₹&quot;#,##0\);\-" sourceLinked="0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67467839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en-US"/>
        </a:p>
      </c:txPr>
    </c:legend>
    <c:plotVisOnly val="1"/>
    <c:dispBlanksAs val="zero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title>
      <c:tx>
        <c:rich>
          <a:bodyPr rot="0"/>
          <a:lstStyle/>
          <a:p>
            <a:pPr>
              <a:defRPr sz="1800" b="1" strike="noStrike" spc="-1">
                <a:solidFill>
                  <a:srgbClr val="000000"/>
                </a:solidFill>
                <a:latin typeface="Calibri"/>
              </a:defRPr>
            </a:pPr>
            <a:r>
              <a:rPr lang="en-IN" sz="1800" b="1" strike="noStrike" spc="-1">
                <a:solidFill>
                  <a:srgbClr val="000000"/>
                </a:solidFill>
                <a:latin typeface="Calibri"/>
              </a:rPr>
              <a:t>Break-Even Rides per Month - Scenario Comparison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1565C0"/>
            </a:solidFill>
            <a:ln w="9360">
              <a:solidFill>
                <a:srgbClr val="F9F9F9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'Scenario Analysis'!$B$15:$F$15</c:f>
              <c:numCache>
                <c:formatCode>General</c:formatCode>
                <c:ptCount val="5"/>
              </c:numCache>
            </c:numRef>
          </c:cat>
          <c:val>
            <c:numRef>
              <c:f>'Scenario Analysis'!$B$16</c:f>
              <c:numCache>
                <c:formatCode>#,##0;\(#,##0\);\-</c:formatCode>
                <c:ptCount val="1"/>
                <c:pt idx="0">
                  <c:v>-13236.546280794069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C0-4A32-8028-F82FBB839AED}"/>
            </c:ext>
          </c:extLst>
        </c:ser>
        <c:ser>
          <c:idx val="1"/>
          <c:order val="1"/>
          <c:spPr>
            <a:solidFill>
              <a:srgbClr val="E65100"/>
            </a:solidFill>
            <a:ln w="9360">
              <a:solidFill>
                <a:srgbClr val="F9F9F9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'Scenario Analysis'!$B$15:$F$15</c:f>
              <c:numCache>
                <c:formatCode>General</c:formatCode>
                <c:ptCount val="5"/>
              </c:numCache>
            </c:numRef>
          </c:cat>
          <c:val>
            <c:numRef>
              <c:f>'Scenario Analysis'!$C$16</c:f>
              <c:numCache>
                <c:formatCode>#,##0;\(#,##0\);\-</c:formatCode>
                <c:ptCount val="1"/>
                <c:pt idx="0">
                  <c:v>-11471.984411600091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C0-4A32-8028-F82FBB839AED}"/>
            </c:ext>
          </c:extLst>
        </c:ser>
        <c:ser>
          <c:idx val="2"/>
          <c:order val="2"/>
          <c:spPr>
            <a:solidFill>
              <a:srgbClr val="2E7D32"/>
            </a:solidFill>
            <a:ln w="9360">
              <a:solidFill>
                <a:srgbClr val="F9F9F9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'Scenario Analysis'!$B$15:$F$15</c:f>
              <c:numCache>
                <c:formatCode>General</c:formatCode>
                <c:ptCount val="5"/>
              </c:numCache>
            </c:numRef>
          </c:cat>
          <c:val>
            <c:numRef>
              <c:f>'Scenario Analysis'!$D$16</c:f>
              <c:numCache>
                <c:formatCode>#,##0;\(#,##0\);\-</c:formatCode>
                <c:ptCount val="1"/>
                <c:pt idx="0">
                  <c:v>-13989.38321536906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C0-4A32-8028-F82FBB839AED}"/>
            </c:ext>
          </c:extLst>
        </c:ser>
        <c:ser>
          <c:idx val="3"/>
          <c:order val="3"/>
          <c:spPr>
            <a:solidFill>
              <a:srgbClr val="00695C"/>
            </a:solidFill>
            <a:ln w="9360">
              <a:solidFill>
                <a:srgbClr val="F9F9F9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'Scenario Analysis'!$B$15:$F$15</c:f>
              <c:numCache>
                <c:formatCode>General</c:formatCode>
                <c:ptCount val="5"/>
              </c:numCache>
            </c:numRef>
          </c:cat>
          <c:val>
            <c:numRef>
              <c:f>'Scenario Analysis'!$E$16</c:f>
              <c:numCache>
                <c:formatCode>#,##0;\(#,##0\);\-</c:formatCode>
                <c:ptCount val="1"/>
                <c:pt idx="0">
                  <c:v>-11912.891652714663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C0-4A32-8028-F82FBB839AED}"/>
            </c:ext>
          </c:extLst>
        </c:ser>
        <c:ser>
          <c:idx val="4"/>
          <c:order val="4"/>
          <c:spPr>
            <a:solidFill>
              <a:srgbClr val="B71C1C"/>
            </a:solidFill>
            <a:ln w="9360">
              <a:solidFill>
                <a:srgbClr val="F9F9F9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'Scenario Analysis'!$B$15:$F$15</c:f>
              <c:numCache>
                <c:formatCode>General</c:formatCode>
                <c:ptCount val="5"/>
              </c:numCache>
            </c:numRef>
          </c:cat>
          <c:val>
            <c:numRef>
              <c:f>'Scenario Analysis'!$F$16</c:f>
              <c:numCache>
                <c:formatCode>#,##0;\(#,##0\);\-</c:formatCode>
                <c:ptCount val="1"/>
                <c:pt idx="0">
                  <c:v>-10960.765284902258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1C0-4A32-8028-F82FBB839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517368"/>
        <c:axId val="97388798"/>
      </c:barChart>
      <c:catAx>
        <c:axId val="665173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97388798"/>
        <c:crosses val="autoZero"/>
        <c:auto val="1"/>
        <c:lblAlgn val="ctr"/>
        <c:lblOffset val="100"/>
        <c:noMultiLvlLbl val="0"/>
      </c:catAx>
      <c:valAx>
        <c:axId val="97388798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IN" sz="1000" b="1" strike="noStrike" spc="-1">
                    <a:solidFill>
                      <a:srgbClr val="000000"/>
                    </a:solidFill>
                    <a:latin typeface="Calibri"/>
                  </a:rPr>
                  <a:t>Monthly Rides Needed to Break Even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;\(#,##0\);\-" sourceLinked="0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66517368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en-U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16748</xdr:colOff>
      <xdr:row>2</xdr:row>
      <xdr:rowOff>150725</xdr:rowOff>
    </xdr:from>
    <xdr:to>
      <xdr:col>23</xdr:col>
      <xdr:colOff>98216</xdr:colOff>
      <xdr:row>28</xdr:row>
      <xdr:rowOff>68932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18143</xdr:colOff>
      <xdr:row>2</xdr:row>
      <xdr:rowOff>117929</xdr:rowOff>
    </xdr:from>
    <xdr:to>
      <xdr:col>19</xdr:col>
      <xdr:colOff>552315</xdr:colOff>
      <xdr:row>22</xdr:row>
      <xdr:rowOff>255160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48B7CB3D-1C91-4E27-AE33-20EAC48AAC6F}">
  <we:reference id="wa200009404" version="1.0.0.8" store="en-US" storeType="OMEX"/>
  <we:alternateReferences>
    <we:reference id="wa200009404" version="1.0.0.8" store="wa200009404" storeType="OMEX"/>
  </we:alternateReferences>
  <we:properties>
    <we:property name="claude.fileId" value="&quot;b6c75db3-0181-4cfc-9932-27be1de41c2a&quot;"/>
  </we:properties>
  <we:bindings/>
  <we:snapshot xmlns:r="http://schemas.openxmlformats.org/officeDocument/2006/relationships"/>
</we:webextension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3"/>
  <sheetViews>
    <sheetView showGridLines="0" zoomScale="137" zoomScaleNormal="100" workbookViewId="0">
      <selection activeCell="G11" sqref="G11"/>
    </sheetView>
  </sheetViews>
  <sheetFormatPr defaultColWidth="8.6640625" defaultRowHeight="14.4" x14ac:dyDescent="0.3"/>
  <cols>
    <col min="1" max="1" width="32" customWidth="1"/>
    <col min="2" max="5" width="18" customWidth="1"/>
  </cols>
  <sheetData>
    <row r="1" spans="1:5" ht="36" customHeight="1" x14ac:dyDescent="0.3">
      <c r="A1" s="101" t="s">
        <v>179</v>
      </c>
      <c r="B1" s="102"/>
      <c r="C1" s="102"/>
      <c r="D1" s="102"/>
      <c r="E1" s="102"/>
    </row>
    <row r="2" spans="1:5" ht="12.6" customHeight="1" x14ac:dyDescent="0.3">
      <c r="A2" s="100"/>
      <c r="B2" s="100"/>
      <c r="C2" s="100"/>
      <c r="D2" s="100"/>
      <c r="E2" s="100"/>
    </row>
    <row r="3" spans="1:5" ht="18" customHeight="1" x14ac:dyDescent="0.3">
      <c r="A3" s="103" t="s">
        <v>178</v>
      </c>
      <c r="B3" s="103"/>
      <c r="C3" s="103"/>
      <c r="D3" s="103"/>
      <c r="E3" s="103"/>
    </row>
    <row r="4" spans="1:5" ht="18" customHeight="1" x14ac:dyDescent="0.3">
      <c r="A4" s="1" t="s">
        <v>0</v>
      </c>
      <c r="B4" s="1" t="s">
        <v>1</v>
      </c>
      <c r="C4" s="2" t="s">
        <v>2</v>
      </c>
      <c r="D4" s="3" t="s">
        <v>3</v>
      </c>
      <c r="E4" s="4" t="s">
        <v>4</v>
      </c>
    </row>
    <row r="5" spans="1:5" ht="15" customHeight="1" x14ac:dyDescent="0.3">
      <c r="A5" s="5" t="s">
        <v>5</v>
      </c>
      <c r="B5" s="6">
        <f>'CVP Inputs'!B7</f>
        <v>19.067796610169491</v>
      </c>
      <c r="C5" s="6">
        <f>'Scenario Analysis'!C11</f>
        <v>19.067796610169491</v>
      </c>
      <c r="D5" s="6">
        <f>'Scenario Analysis'!D11</f>
        <v>20.974576271186443</v>
      </c>
      <c r="E5" s="6">
        <f>'Scenario Analysis'!F11</f>
        <v>17.161016949152543</v>
      </c>
    </row>
    <row r="6" spans="1:5" ht="15" customHeight="1" x14ac:dyDescent="0.3">
      <c r="A6" s="5" t="s">
        <v>6</v>
      </c>
      <c r="B6" s="6">
        <f>'CVP Inputs'!B12</f>
        <v>54.5</v>
      </c>
      <c r="C6" s="6">
        <f>'Scenario Analysis'!C12</f>
        <v>59.95</v>
      </c>
      <c r="D6" s="6">
        <f>'Scenario Analysis'!D12</f>
        <v>54.5</v>
      </c>
      <c r="E6" s="6">
        <f>'Scenario Analysis'!F12</f>
        <v>59.95</v>
      </c>
    </row>
    <row r="7" spans="1:5" ht="15" customHeight="1" x14ac:dyDescent="0.3">
      <c r="A7" s="5" t="s">
        <v>7</v>
      </c>
      <c r="B7" s="6">
        <f>'CVP Inputs'!B14</f>
        <v>-35.432203389830505</v>
      </c>
      <c r="C7" s="6">
        <f>'Scenario Analysis'!C13</f>
        <v>-40.882203389830508</v>
      </c>
      <c r="D7" s="6">
        <f>'Scenario Analysis'!D13</f>
        <v>-33.525423728813557</v>
      </c>
      <c r="E7" s="6">
        <f>'Scenario Analysis'!F13</f>
        <v>-42.788983050847463</v>
      </c>
    </row>
    <row r="8" spans="1:5" ht="15" customHeight="1" x14ac:dyDescent="0.3">
      <c r="A8" s="5" t="s">
        <v>8</v>
      </c>
      <c r="B8" s="7">
        <f>'CVP Inputs'!B15</f>
        <v>-1.858222222222222</v>
      </c>
      <c r="C8" s="7">
        <f>'Scenario Analysis'!C14</f>
        <v>-2.1440444444444444</v>
      </c>
      <c r="D8" s="7">
        <f>'Scenario Analysis'!D14</f>
        <v>-1.598383838383838</v>
      </c>
      <c r="E8" s="7">
        <f>'Scenario Analysis'!F14</f>
        <v>-2.4933827160493829</v>
      </c>
    </row>
    <row r="9" spans="1:5" ht="15" customHeight="1" x14ac:dyDescent="0.3">
      <c r="A9" s="5" t="s">
        <v>9</v>
      </c>
      <c r="B9" s="8">
        <f>'CVP Inputs'!B30</f>
        <v>469000</v>
      </c>
      <c r="C9" s="8">
        <f>'Scenario Analysis'!C9</f>
        <v>469000</v>
      </c>
      <c r="D9" s="8">
        <f>'Scenario Analysis'!D9</f>
        <v>469000</v>
      </c>
      <c r="E9" s="8">
        <f>'Scenario Analysis'!F9</f>
        <v>469000</v>
      </c>
    </row>
    <row r="10" spans="1:5" ht="18" customHeight="1" x14ac:dyDescent="0.3">
      <c r="A10" s="104" t="s">
        <v>10</v>
      </c>
      <c r="B10" s="104"/>
      <c r="C10" s="104"/>
      <c r="D10" s="104"/>
      <c r="E10" s="104"/>
    </row>
    <row r="11" spans="1:5" ht="16.5" customHeight="1" x14ac:dyDescent="0.3">
      <c r="A11" s="9" t="s">
        <v>11</v>
      </c>
      <c r="B11" s="10">
        <f>'Break-Even Analysis'!B10</f>
        <v>-13236.546280794069</v>
      </c>
      <c r="C11" s="10">
        <f>'Scenario Analysis'!C16</f>
        <v>-11471.984411600091</v>
      </c>
      <c r="D11" s="10">
        <f>'Scenario Analysis'!D16</f>
        <v>-13989.38321536906</v>
      </c>
      <c r="E11" s="10">
        <f>'Scenario Analysis'!F16</f>
        <v>-10960.765284902258</v>
      </c>
    </row>
    <row r="12" spans="1:5" ht="16.5" customHeight="1" x14ac:dyDescent="0.3">
      <c r="A12" s="9" t="s">
        <v>12</v>
      </c>
      <c r="B12" s="10">
        <f>'Break-Even Analysis'!B11</f>
        <v>-441.2182093598023</v>
      </c>
      <c r="C12" s="10">
        <f>'Scenario Analysis'!C17</f>
        <v>-382.39948038666972</v>
      </c>
      <c r="D12" s="10">
        <f>'Scenario Analysis'!D17</f>
        <v>-466.31277384563532</v>
      </c>
      <c r="E12" s="10">
        <f>'Scenario Analysis'!F17</f>
        <v>-365.35884283007528</v>
      </c>
    </row>
    <row r="13" spans="1:5" ht="16.5" customHeight="1" x14ac:dyDescent="0.3">
      <c r="A13" s="9" t="s">
        <v>13</v>
      </c>
      <c r="B13" s="11">
        <f>'Break-Even Analysis'!B12</f>
        <v>-252391.77230327675</v>
      </c>
      <c r="C13" s="11">
        <f>'Scenario Analysis'!C18</f>
        <v>-218745.46547542547</v>
      </c>
      <c r="D13" s="11">
        <f>'Scenario Analysis'!D18</f>
        <v>-293421.38523761381</v>
      </c>
      <c r="E13" s="11">
        <f>'Scenario Analysis'!F18</f>
        <v>-188097.87882989045</v>
      </c>
    </row>
    <row r="14" spans="1:5" ht="18" customHeight="1" x14ac:dyDescent="0.3">
      <c r="A14" s="105" t="s">
        <v>14</v>
      </c>
      <c r="B14" s="105"/>
      <c r="C14" s="105"/>
      <c r="D14" s="105"/>
      <c r="E14" s="105"/>
    </row>
    <row r="15" spans="1:5" ht="15" customHeight="1" x14ac:dyDescent="0.3">
      <c r="A15" s="5" t="s">
        <v>15</v>
      </c>
      <c r="B15" s="12">
        <f>'Break-Even Analysis'!B15</f>
        <v>5980</v>
      </c>
      <c r="C15" s="13"/>
      <c r="D15" s="13"/>
      <c r="E15" s="13"/>
    </row>
    <row r="16" spans="1:5" ht="15" customHeight="1" x14ac:dyDescent="0.3">
      <c r="A16" s="5" t="s">
        <v>16</v>
      </c>
      <c r="B16" s="12">
        <f>'Break-Even Analysis'!B17</f>
        <v>19216.546280794071</v>
      </c>
      <c r="C16" s="13"/>
      <c r="D16" s="13"/>
      <c r="E16" s="13"/>
    </row>
    <row r="17" spans="1:5" ht="15" customHeight="1" x14ac:dyDescent="0.3">
      <c r="A17" s="5" t="s">
        <v>17</v>
      </c>
      <c r="B17" s="8">
        <f>'Break-Even Analysis'!B18</f>
        <v>366417.19603209035</v>
      </c>
      <c r="C17" s="13"/>
      <c r="D17" s="13"/>
      <c r="E17" s="13"/>
    </row>
    <row r="18" spans="1:5" ht="15" customHeight="1" x14ac:dyDescent="0.3">
      <c r="A18" s="5" t="s">
        <v>18</v>
      </c>
      <c r="B18" s="14">
        <f>'Break-Even Analysis'!B19</f>
        <v>3.2134692777247609</v>
      </c>
      <c r="C18" s="13"/>
      <c r="D18" s="13"/>
      <c r="E18" s="13"/>
    </row>
    <row r="19" spans="1:5" ht="15" customHeight="1" x14ac:dyDescent="0.3">
      <c r="A19" s="5" t="s">
        <v>19</v>
      </c>
      <c r="B19" s="15">
        <f>'Break-Even Analysis'!B20</f>
        <v>0.31119015418377738</v>
      </c>
      <c r="C19" s="13"/>
      <c r="D19" s="13"/>
      <c r="E19" s="13"/>
    </row>
    <row r="20" spans="1:5" ht="18" customHeight="1" x14ac:dyDescent="0.3">
      <c r="A20" s="100"/>
      <c r="B20" s="100"/>
      <c r="C20" s="100"/>
      <c r="D20" s="100"/>
      <c r="E20" s="100"/>
    </row>
    <row r="21" spans="1:5" x14ac:dyDescent="0.3">
      <c r="A21" s="100"/>
      <c r="B21" s="100"/>
      <c r="C21" s="100"/>
      <c r="D21" s="100"/>
      <c r="E21" s="100"/>
    </row>
    <row r="23" spans="1:5" ht="13.5" customHeight="1" x14ac:dyDescent="0.3">
      <c r="A23" s="70" t="s">
        <v>145</v>
      </c>
      <c r="B23" s="69"/>
      <c r="C23" s="69"/>
      <c r="D23" s="69"/>
      <c r="E23" s="69" t="s">
        <v>21</v>
      </c>
    </row>
  </sheetData>
  <mergeCells count="7">
    <mergeCell ref="A20:E20"/>
    <mergeCell ref="A21:E21"/>
    <mergeCell ref="A1:E1"/>
    <mergeCell ref="A2:E2"/>
    <mergeCell ref="A3:E3"/>
    <mergeCell ref="A10:E10"/>
    <mergeCell ref="A14:E14"/>
  </mergeCells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2"/>
  <sheetViews>
    <sheetView showGridLines="0" zoomScale="119" zoomScaleNormal="100" workbookViewId="0">
      <selection activeCell="B7" sqref="B7"/>
    </sheetView>
  </sheetViews>
  <sheetFormatPr defaultColWidth="8.6640625" defaultRowHeight="14.4" x14ac:dyDescent="0.3"/>
  <cols>
    <col min="1" max="1" width="36" customWidth="1"/>
    <col min="2" max="2" width="14" customWidth="1"/>
    <col min="3" max="3" width="8" customWidth="1"/>
    <col min="4" max="4" width="118.77734375" bestFit="1" customWidth="1"/>
  </cols>
  <sheetData>
    <row r="1" spans="1:5" ht="30" customHeight="1" x14ac:dyDescent="0.3">
      <c r="A1" s="111" t="s">
        <v>146</v>
      </c>
      <c r="B1" s="112"/>
      <c r="C1" s="112"/>
      <c r="D1" s="112"/>
    </row>
    <row r="2" spans="1:5" ht="15.75" customHeight="1" x14ac:dyDescent="0.3">
      <c r="A2" s="113"/>
      <c r="B2" s="114"/>
      <c r="C2" s="114"/>
      <c r="D2" s="114"/>
    </row>
    <row r="3" spans="1:5" ht="18" customHeight="1" x14ac:dyDescent="0.3">
      <c r="A3" s="107" t="s">
        <v>22</v>
      </c>
      <c r="B3" s="107"/>
      <c r="C3" s="107"/>
      <c r="D3" s="107"/>
    </row>
    <row r="4" spans="1:5" ht="15" customHeight="1" x14ac:dyDescent="0.3">
      <c r="A4" s="5" t="s">
        <v>23</v>
      </c>
      <c r="B4" s="27">
        <v>150</v>
      </c>
      <c r="C4" s="16" t="s">
        <v>24</v>
      </c>
      <c r="D4" s="71" t="s">
        <v>147</v>
      </c>
    </row>
    <row r="5" spans="1:5" ht="15" customHeight="1" x14ac:dyDescent="0.3">
      <c r="A5" s="5" t="s">
        <v>25</v>
      </c>
      <c r="B5" s="72">
        <v>0.15</v>
      </c>
      <c r="C5" s="16" t="s">
        <v>26</v>
      </c>
      <c r="D5" s="17" t="s">
        <v>27</v>
      </c>
    </row>
    <row r="6" spans="1:5" ht="15" customHeight="1" x14ac:dyDescent="0.3">
      <c r="A6" s="5" t="s">
        <v>28</v>
      </c>
      <c r="B6" s="72">
        <v>0.18</v>
      </c>
      <c r="C6" s="16" t="s">
        <v>26</v>
      </c>
      <c r="D6" s="17" t="s">
        <v>29</v>
      </c>
    </row>
    <row r="7" spans="1:5" ht="15" customHeight="1" x14ac:dyDescent="0.3">
      <c r="A7" s="9" t="s">
        <v>30</v>
      </c>
      <c r="B7" s="18">
        <f>B4*B5/(1+B6)</f>
        <v>19.067796610169491</v>
      </c>
      <c r="C7" s="19" t="s">
        <v>24</v>
      </c>
      <c r="D7" s="20" t="s">
        <v>31</v>
      </c>
    </row>
    <row r="8" spans="1:5" ht="18" customHeight="1" x14ac:dyDescent="0.3">
      <c r="A8" s="106" t="s">
        <v>148</v>
      </c>
      <c r="B8" s="107"/>
      <c r="C8" s="107"/>
      <c r="D8" s="107"/>
    </row>
    <row r="9" spans="1:5" ht="15" customHeight="1" x14ac:dyDescent="0.3">
      <c r="A9" s="5" t="s">
        <v>32</v>
      </c>
      <c r="B9" s="27">
        <v>50</v>
      </c>
      <c r="C9" s="16" t="s">
        <v>24</v>
      </c>
      <c r="D9" s="17" t="s">
        <v>33</v>
      </c>
    </row>
    <row r="10" spans="1:5" ht="15" customHeight="1" x14ac:dyDescent="0.3">
      <c r="A10" s="5" t="s">
        <v>34</v>
      </c>
      <c r="B10" s="27">
        <v>3</v>
      </c>
      <c r="C10" s="16" t="s">
        <v>24</v>
      </c>
      <c r="D10" s="71" t="s">
        <v>149</v>
      </c>
    </row>
    <row r="11" spans="1:5" ht="15" customHeight="1" x14ac:dyDescent="0.3">
      <c r="A11" s="5" t="s">
        <v>35</v>
      </c>
      <c r="B11" s="27">
        <v>1.5</v>
      </c>
      <c r="C11" s="16" t="s">
        <v>24</v>
      </c>
      <c r="D11" s="17" t="s">
        <v>36</v>
      </c>
      <c r="E11" s="73">
        <f>(62000/15460)/2</f>
        <v>2.0051746442432083</v>
      </c>
    </row>
    <row r="12" spans="1:5" ht="15" customHeight="1" x14ac:dyDescent="0.3">
      <c r="A12" s="21" t="s">
        <v>37</v>
      </c>
      <c r="B12" s="74">
        <f>B9+B10+B11</f>
        <v>54.5</v>
      </c>
      <c r="C12" s="22" t="s">
        <v>24</v>
      </c>
      <c r="D12" s="23" t="s">
        <v>38</v>
      </c>
    </row>
    <row r="13" spans="1:5" ht="18" customHeight="1" x14ac:dyDescent="0.3">
      <c r="A13" s="107" t="s">
        <v>39</v>
      </c>
      <c r="B13" s="107"/>
      <c r="C13" s="107"/>
      <c r="D13" s="107"/>
    </row>
    <row r="14" spans="1:5" ht="15" customHeight="1" x14ac:dyDescent="0.3">
      <c r="A14" s="24" t="s">
        <v>40</v>
      </c>
      <c r="B14" s="76">
        <f>B7-B12</f>
        <v>-35.432203389830505</v>
      </c>
      <c r="C14" s="25" t="s">
        <v>24</v>
      </c>
      <c r="D14" s="75" t="s">
        <v>150</v>
      </c>
    </row>
    <row r="15" spans="1:5" ht="15" customHeight="1" x14ac:dyDescent="0.3">
      <c r="A15" s="24" t="s">
        <v>41</v>
      </c>
      <c r="B15" s="77">
        <f>B14/B7</f>
        <v>-1.858222222222222</v>
      </c>
      <c r="C15" s="25" t="s">
        <v>26</v>
      </c>
      <c r="D15" s="26" t="s">
        <v>42</v>
      </c>
    </row>
    <row r="16" spans="1:5" ht="18" customHeight="1" x14ac:dyDescent="0.3">
      <c r="A16" s="106" t="s">
        <v>151</v>
      </c>
      <c r="B16" s="107"/>
      <c r="C16" s="107"/>
      <c r="D16" s="107"/>
    </row>
    <row r="17" spans="1:4" ht="15" customHeight="1" x14ac:dyDescent="0.3">
      <c r="A17" s="5" t="s">
        <v>43</v>
      </c>
      <c r="B17" s="27">
        <v>120000</v>
      </c>
      <c r="C17" s="16" t="s">
        <v>44</v>
      </c>
      <c r="D17" s="17" t="s">
        <v>45</v>
      </c>
    </row>
    <row r="18" spans="1:4" ht="15" customHeight="1" x14ac:dyDescent="0.3">
      <c r="A18" s="5" t="s">
        <v>46</v>
      </c>
      <c r="B18" s="27">
        <v>80000</v>
      </c>
      <c r="C18" s="16" t="s">
        <v>44</v>
      </c>
      <c r="D18" s="17" t="s">
        <v>47</v>
      </c>
    </row>
    <row r="19" spans="1:4" ht="15" customHeight="1" x14ac:dyDescent="0.3">
      <c r="A19" s="5" t="s">
        <v>48</v>
      </c>
      <c r="B19" s="27">
        <v>60000</v>
      </c>
      <c r="C19" s="16" t="s">
        <v>44</v>
      </c>
      <c r="D19" s="17" t="s">
        <v>49</v>
      </c>
    </row>
    <row r="20" spans="1:4" ht="15" customHeight="1" x14ac:dyDescent="0.3">
      <c r="A20" s="5" t="s">
        <v>50</v>
      </c>
      <c r="B20" s="27">
        <v>35000</v>
      </c>
      <c r="C20" s="16" t="s">
        <v>44</v>
      </c>
      <c r="D20" s="17" t="s">
        <v>51</v>
      </c>
    </row>
    <row r="21" spans="1:4" ht="15" customHeight="1" x14ac:dyDescent="0.3">
      <c r="A21" s="5" t="s">
        <v>52</v>
      </c>
      <c r="B21" s="27">
        <v>25000</v>
      </c>
      <c r="C21" s="16" t="s">
        <v>44</v>
      </c>
      <c r="D21" s="17" t="s">
        <v>53</v>
      </c>
    </row>
    <row r="22" spans="1:4" ht="15" customHeight="1" x14ac:dyDescent="0.3">
      <c r="A22" s="5" t="s">
        <v>54</v>
      </c>
      <c r="B22" s="27">
        <v>80000</v>
      </c>
      <c r="C22" s="16" t="s">
        <v>44</v>
      </c>
      <c r="D22" s="17" t="s">
        <v>55</v>
      </c>
    </row>
    <row r="23" spans="1:4" ht="15" customHeight="1" x14ac:dyDescent="0.3">
      <c r="A23" s="5" t="s">
        <v>56</v>
      </c>
      <c r="B23" s="27">
        <v>15000</v>
      </c>
      <c r="C23" s="16" t="s">
        <v>44</v>
      </c>
      <c r="D23" s="17" t="s">
        <v>57</v>
      </c>
    </row>
    <row r="24" spans="1:4" ht="15" customHeight="1" x14ac:dyDescent="0.3">
      <c r="A24" s="5" t="s">
        <v>58</v>
      </c>
      <c r="B24" s="27">
        <v>10000</v>
      </c>
      <c r="C24" s="16" t="s">
        <v>44</v>
      </c>
      <c r="D24" s="17" t="s">
        <v>59</v>
      </c>
    </row>
    <row r="25" spans="1:4" ht="15" customHeight="1" x14ac:dyDescent="0.3">
      <c r="A25" s="5" t="s">
        <v>60</v>
      </c>
      <c r="B25" s="27">
        <v>15000</v>
      </c>
      <c r="C25" s="16" t="s">
        <v>44</v>
      </c>
      <c r="D25" s="17" t="s">
        <v>61</v>
      </c>
    </row>
    <row r="26" spans="1:4" ht="15" customHeight="1" x14ac:dyDescent="0.3">
      <c r="A26" s="5" t="s">
        <v>62</v>
      </c>
      <c r="B26" s="27">
        <v>8000</v>
      </c>
      <c r="C26" s="16" t="s">
        <v>44</v>
      </c>
      <c r="D26" s="17" t="s">
        <v>63</v>
      </c>
    </row>
    <row r="27" spans="1:4" ht="15" customHeight="1" x14ac:dyDescent="0.3">
      <c r="A27" s="5" t="s">
        <v>64</v>
      </c>
      <c r="B27" s="27">
        <v>5000</v>
      </c>
      <c r="C27" s="16" t="s">
        <v>44</v>
      </c>
      <c r="D27" s="17" t="s">
        <v>65</v>
      </c>
    </row>
    <row r="28" spans="1:4" ht="15" customHeight="1" x14ac:dyDescent="0.3">
      <c r="A28" s="5" t="s">
        <v>66</v>
      </c>
      <c r="B28" s="27">
        <v>3500</v>
      </c>
      <c r="C28" s="16" t="s">
        <v>44</v>
      </c>
      <c r="D28" s="17" t="s">
        <v>67</v>
      </c>
    </row>
    <row r="29" spans="1:4" ht="15" customHeight="1" x14ac:dyDescent="0.3">
      <c r="A29" s="5" t="s">
        <v>68</v>
      </c>
      <c r="B29" s="27">
        <v>12500</v>
      </c>
      <c r="C29" s="16" t="s">
        <v>44</v>
      </c>
      <c r="D29" s="17" t="s">
        <v>69</v>
      </c>
    </row>
    <row r="30" spans="1:4" ht="15" customHeight="1" x14ac:dyDescent="0.3">
      <c r="A30" s="9" t="s">
        <v>70</v>
      </c>
      <c r="B30" s="28">
        <f>SUM(B17:B29)</f>
        <v>469000</v>
      </c>
      <c r="C30" s="19" t="s">
        <v>44</v>
      </c>
      <c r="D30" s="20" t="s">
        <v>71</v>
      </c>
    </row>
    <row r="32" spans="1:4" ht="13.5" customHeight="1" x14ac:dyDescent="0.3">
      <c r="A32" s="108" t="s">
        <v>145</v>
      </c>
      <c r="B32" s="109"/>
      <c r="C32" s="110" t="s">
        <v>21</v>
      </c>
      <c r="D32" s="110"/>
    </row>
  </sheetData>
  <mergeCells count="8">
    <mergeCell ref="A16:D16"/>
    <mergeCell ref="A32:B32"/>
    <mergeCell ref="C32:D32"/>
    <mergeCell ref="A1:D1"/>
    <mergeCell ref="A2:D2"/>
    <mergeCell ref="A3:D3"/>
    <mergeCell ref="A8:D8"/>
    <mergeCell ref="A13:D13"/>
  </mergeCells>
  <pageMargins left="0.75" right="0.75" top="1" bottom="1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8"/>
  <sheetViews>
    <sheetView showGridLines="0" zoomScale="145" zoomScaleNormal="100" workbookViewId="0">
      <selection activeCell="D27" sqref="D27"/>
    </sheetView>
  </sheetViews>
  <sheetFormatPr defaultColWidth="8.6640625" defaultRowHeight="14.4" x14ac:dyDescent="0.3"/>
  <cols>
    <col min="1" max="1" width="38" customWidth="1"/>
    <col min="2" max="2" width="16" customWidth="1"/>
    <col min="3" max="3" width="8" customWidth="1"/>
    <col min="4" max="4" width="97.5546875" bestFit="1" customWidth="1"/>
  </cols>
  <sheetData>
    <row r="1" spans="1:4" ht="30" customHeight="1" x14ac:dyDescent="0.3">
      <c r="A1" s="111" t="s">
        <v>155</v>
      </c>
      <c r="B1" s="112"/>
      <c r="C1" s="112"/>
      <c r="D1" s="112"/>
    </row>
    <row r="2" spans="1:4" ht="15.75" customHeight="1" x14ac:dyDescent="0.3">
      <c r="A2" s="100"/>
      <c r="B2" s="100"/>
      <c r="C2" s="100"/>
      <c r="D2" s="100"/>
    </row>
    <row r="3" spans="1:4" ht="18" customHeight="1" x14ac:dyDescent="0.3">
      <c r="A3" s="115" t="s">
        <v>152</v>
      </c>
      <c r="B3" s="96"/>
      <c r="C3" s="96"/>
      <c r="D3" s="96"/>
    </row>
    <row r="4" spans="1:4" ht="15" customHeight="1" x14ac:dyDescent="0.3">
      <c r="A4" s="29" t="s">
        <v>72</v>
      </c>
      <c r="B4" s="8">
        <f>'CVP Inputs'!B7</f>
        <v>19.067796610169491</v>
      </c>
      <c r="C4" s="30" t="s">
        <v>24</v>
      </c>
      <c r="D4" s="17" t="s">
        <v>73</v>
      </c>
    </row>
    <row r="5" spans="1:4" ht="15" customHeight="1" x14ac:dyDescent="0.3">
      <c r="A5" s="29" t="s">
        <v>37</v>
      </c>
      <c r="B5" s="8">
        <f>'CVP Inputs'!B12</f>
        <v>54.5</v>
      </c>
      <c r="C5" s="30" t="s">
        <v>24</v>
      </c>
      <c r="D5" s="17" t="s">
        <v>74</v>
      </c>
    </row>
    <row r="6" spans="1:4" ht="15" customHeight="1" x14ac:dyDescent="0.3">
      <c r="A6" s="9" t="s">
        <v>75</v>
      </c>
      <c r="B6" s="78">
        <f>B4-B5</f>
        <v>-35.432203389830505</v>
      </c>
      <c r="C6" s="19" t="s">
        <v>24</v>
      </c>
      <c r="D6" s="20" t="s">
        <v>76</v>
      </c>
    </row>
    <row r="7" spans="1:4" ht="15" customHeight="1" x14ac:dyDescent="0.3">
      <c r="A7" s="29" t="s">
        <v>8</v>
      </c>
      <c r="B7" s="79">
        <f>B6/B4</f>
        <v>-1.858222222222222</v>
      </c>
      <c r="C7" s="30" t="s">
        <v>26</v>
      </c>
      <c r="D7" s="17" t="s">
        <v>77</v>
      </c>
    </row>
    <row r="8" spans="1:4" ht="15" customHeight="1" x14ac:dyDescent="0.3">
      <c r="A8" s="9" t="s">
        <v>70</v>
      </c>
      <c r="B8" s="11">
        <f>'CVP Inputs'!B30</f>
        <v>469000</v>
      </c>
      <c r="C8" s="19" t="s">
        <v>44</v>
      </c>
      <c r="D8" s="20" t="s">
        <v>78</v>
      </c>
    </row>
    <row r="9" spans="1:4" ht="18" customHeight="1" x14ac:dyDescent="0.3">
      <c r="A9" s="105" t="s">
        <v>79</v>
      </c>
      <c r="B9" s="105"/>
      <c r="C9" s="105"/>
      <c r="D9" s="105"/>
    </row>
    <row r="10" spans="1:4" ht="15" customHeight="1" x14ac:dyDescent="0.3">
      <c r="A10" s="9" t="s">
        <v>11</v>
      </c>
      <c r="B10" s="31">
        <f>B8/B6</f>
        <v>-13236.546280794069</v>
      </c>
      <c r="C10" s="19" t="s">
        <v>80</v>
      </c>
      <c r="D10" s="80" t="s">
        <v>153</v>
      </c>
    </row>
    <row r="11" spans="1:4" ht="15" customHeight="1" x14ac:dyDescent="0.3">
      <c r="A11" s="9" t="s">
        <v>12</v>
      </c>
      <c r="B11" s="32">
        <f>B10/30</f>
        <v>-441.2182093598023</v>
      </c>
      <c r="C11" s="19" t="s">
        <v>81</v>
      </c>
      <c r="D11" s="80" t="s">
        <v>154</v>
      </c>
    </row>
    <row r="12" spans="1:4" ht="15" customHeight="1" x14ac:dyDescent="0.3">
      <c r="A12" s="9" t="s">
        <v>13</v>
      </c>
      <c r="B12" s="28">
        <f>B10*B4</f>
        <v>-252391.77230327675</v>
      </c>
      <c r="C12" s="19" t="s">
        <v>24</v>
      </c>
      <c r="D12" s="20" t="s">
        <v>82</v>
      </c>
    </row>
    <row r="13" spans="1:4" ht="15" customHeight="1" x14ac:dyDescent="0.3">
      <c r="A13" s="33" t="s">
        <v>83</v>
      </c>
      <c r="B13" s="34">
        <f>IFERROR(B8/B7,0)</f>
        <v>-252391.77230327675</v>
      </c>
      <c r="C13" s="16" t="s">
        <v>24</v>
      </c>
      <c r="D13" s="81" t="s">
        <v>156</v>
      </c>
    </row>
    <row r="14" spans="1:4" ht="18" customHeight="1" x14ac:dyDescent="0.3">
      <c r="A14" s="116" t="s">
        <v>84</v>
      </c>
      <c r="B14" s="116"/>
      <c r="C14" s="116"/>
      <c r="D14" s="116"/>
    </row>
    <row r="15" spans="1:4" ht="15" customHeight="1" x14ac:dyDescent="0.3">
      <c r="A15" s="5" t="s">
        <v>85</v>
      </c>
      <c r="B15" s="36">
        <v>5980</v>
      </c>
      <c r="C15" s="30" t="s">
        <v>80</v>
      </c>
      <c r="D15" s="71" t="s">
        <v>157</v>
      </c>
    </row>
    <row r="16" spans="1:4" ht="15" customHeight="1" x14ac:dyDescent="0.3">
      <c r="A16" s="5" t="s">
        <v>86</v>
      </c>
      <c r="B16" s="37">
        <f>B15*B4</f>
        <v>114025.42372881356</v>
      </c>
      <c r="C16" s="30" t="s">
        <v>24</v>
      </c>
      <c r="D16" s="17" t="s">
        <v>87</v>
      </c>
    </row>
    <row r="17" spans="1:4" ht="15" customHeight="1" x14ac:dyDescent="0.3">
      <c r="A17" s="9" t="s">
        <v>16</v>
      </c>
      <c r="B17" s="31">
        <f>B15-B10</f>
        <v>19216.546280794071</v>
      </c>
      <c r="C17" s="19" t="s">
        <v>80</v>
      </c>
      <c r="D17" s="80" t="s">
        <v>158</v>
      </c>
    </row>
    <row r="18" spans="1:4" ht="15" customHeight="1" x14ac:dyDescent="0.3">
      <c r="A18" s="9" t="s">
        <v>17</v>
      </c>
      <c r="B18" s="28">
        <f>B16-B12</f>
        <v>366417.19603209035</v>
      </c>
      <c r="C18" s="19" t="s">
        <v>24</v>
      </c>
      <c r="D18" s="20" t="s">
        <v>88</v>
      </c>
    </row>
    <row r="19" spans="1:4" ht="15" customHeight="1" x14ac:dyDescent="0.3">
      <c r="A19" s="9" t="s">
        <v>18</v>
      </c>
      <c r="B19" s="82">
        <f>IFERROR((B15-B10)/B15,0)</f>
        <v>3.2134692777247609</v>
      </c>
      <c r="C19" s="19" t="s">
        <v>26</v>
      </c>
      <c r="D19" s="20" t="s">
        <v>89</v>
      </c>
    </row>
    <row r="20" spans="1:4" ht="15" customHeight="1" x14ac:dyDescent="0.3">
      <c r="A20" s="38" t="s">
        <v>19</v>
      </c>
      <c r="B20" s="39">
        <f>IFERROR(B15*B6/(B15*B6-B8),0)</f>
        <v>0.31119015418377738</v>
      </c>
      <c r="C20" s="16" t="s">
        <v>90</v>
      </c>
      <c r="D20" s="35" t="s">
        <v>91</v>
      </c>
    </row>
    <row r="21" spans="1:4" ht="18" customHeight="1" x14ac:dyDescent="0.3">
      <c r="A21" s="107" t="s">
        <v>92</v>
      </c>
      <c r="B21" s="107"/>
      <c r="C21" s="107"/>
      <c r="D21" s="107"/>
    </row>
    <row r="22" spans="1:4" ht="15" customHeight="1" x14ac:dyDescent="0.3">
      <c r="A22" s="5" t="s">
        <v>93</v>
      </c>
      <c r="B22" s="37">
        <f>B15*B4</f>
        <v>114025.42372881356</v>
      </c>
      <c r="C22" s="30" t="s">
        <v>24</v>
      </c>
      <c r="D22" s="17" t="s">
        <v>87</v>
      </c>
    </row>
    <row r="23" spans="1:4" ht="15" customHeight="1" x14ac:dyDescent="0.3">
      <c r="A23" s="5" t="s">
        <v>94</v>
      </c>
      <c r="B23" s="37">
        <f>B15*B5</f>
        <v>325910</v>
      </c>
      <c r="C23" s="30" t="s">
        <v>24</v>
      </c>
      <c r="D23" s="17" t="s">
        <v>95</v>
      </c>
    </row>
    <row r="24" spans="1:4" ht="15" customHeight="1" x14ac:dyDescent="0.3">
      <c r="A24" s="9" t="s">
        <v>96</v>
      </c>
      <c r="B24" s="40">
        <f>B22-B23</f>
        <v>-211884.57627118644</v>
      </c>
      <c r="C24" s="19" t="s">
        <v>24</v>
      </c>
      <c r="D24" s="20" t="s">
        <v>97</v>
      </c>
    </row>
    <row r="25" spans="1:4" ht="15" customHeight="1" x14ac:dyDescent="0.3">
      <c r="A25" s="29" t="s">
        <v>98</v>
      </c>
      <c r="B25" s="8">
        <f>B8</f>
        <v>469000</v>
      </c>
      <c r="C25" s="30" t="s">
        <v>24</v>
      </c>
      <c r="D25" s="17" t="s">
        <v>99</v>
      </c>
    </row>
    <row r="26" spans="1:4" ht="15" customHeight="1" x14ac:dyDescent="0.3">
      <c r="A26" s="9" t="s">
        <v>100</v>
      </c>
      <c r="B26" s="28">
        <f>B24-B25</f>
        <v>-680884.57627118647</v>
      </c>
      <c r="C26" s="19" t="s">
        <v>24</v>
      </c>
      <c r="D26" s="80" t="s">
        <v>159</v>
      </c>
    </row>
    <row r="28" spans="1:4" ht="13.5" customHeight="1" x14ac:dyDescent="0.3">
      <c r="A28" s="108" t="s">
        <v>145</v>
      </c>
      <c r="B28" s="109"/>
      <c r="C28" s="110" t="s">
        <v>21</v>
      </c>
      <c r="D28" s="110"/>
    </row>
  </sheetData>
  <mergeCells count="8">
    <mergeCell ref="A21:D21"/>
    <mergeCell ref="A28:B28"/>
    <mergeCell ref="C28:D28"/>
    <mergeCell ref="A1:D1"/>
    <mergeCell ref="A2:D2"/>
    <mergeCell ref="A3:D3"/>
    <mergeCell ref="A9:D9"/>
    <mergeCell ref="A14:D14"/>
  </mergeCells>
  <pageMargins left="0.75" right="0.75" top="1" bottom="1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61"/>
  <sheetViews>
    <sheetView showGridLines="0" zoomScale="153" zoomScaleNormal="100" workbookViewId="0">
      <selection activeCell="B4" sqref="B4"/>
    </sheetView>
  </sheetViews>
  <sheetFormatPr defaultColWidth="8.6640625" defaultRowHeight="14.4" x14ac:dyDescent="0.3"/>
  <cols>
    <col min="1" max="2" width="16" customWidth="1"/>
    <col min="3" max="3" width="18" customWidth="1"/>
    <col min="4" max="4" width="16" customWidth="1"/>
    <col min="5" max="5" width="14" customWidth="1"/>
    <col min="6" max="6" width="16" customWidth="1"/>
    <col min="7" max="7" width="14" customWidth="1"/>
    <col min="8" max="8" width="12" customWidth="1"/>
    <col min="9" max="9" width="3.5546875" customWidth="1"/>
  </cols>
  <sheetData>
    <row r="1" spans="1:8" ht="30" customHeight="1" x14ac:dyDescent="0.3">
      <c r="A1" s="117" t="s">
        <v>160</v>
      </c>
      <c r="B1" s="118"/>
      <c r="C1" s="118"/>
      <c r="D1" s="118"/>
      <c r="E1" s="118"/>
      <c r="F1" s="118"/>
      <c r="G1" s="118"/>
      <c r="H1" s="118"/>
    </row>
    <row r="2" spans="1:8" ht="15.75" customHeight="1" x14ac:dyDescent="0.3">
      <c r="A2" s="100"/>
      <c r="B2" s="100"/>
      <c r="C2" s="100"/>
      <c r="D2" s="100"/>
      <c r="E2" s="100"/>
      <c r="F2" s="100"/>
      <c r="G2" s="100"/>
      <c r="H2" s="100"/>
    </row>
    <row r="3" spans="1:8" x14ac:dyDescent="0.3">
      <c r="A3" s="83" t="s">
        <v>161</v>
      </c>
      <c r="B3" s="83" t="s">
        <v>162</v>
      </c>
      <c r="C3" s="83" t="s">
        <v>163</v>
      </c>
      <c r="D3" s="83" t="s">
        <v>164</v>
      </c>
      <c r="E3" s="83" t="s">
        <v>165</v>
      </c>
      <c r="F3" s="83" t="s">
        <v>166</v>
      </c>
      <c r="G3" s="83" t="s">
        <v>167</v>
      </c>
      <c r="H3" s="83" t="s">
        <v>168</v>
      </c>
    </row>
    <row r="4" spans="1:8" ht="15" customHeight="1" x14ac:dyDescent="0.3">
      <c r="A4" s="41">
        <v>1000</v>
      </c>
      <c r="B4" s="37">
        <f>A4*'CVP Inputs'!B7</f>
        <v>19067.796610169491</v>
      </c>
      <c r="C4" s="37">
        <f>A4*'CVP Inputs'!B12</f>
        <v>54500</v>
      </c>
      <c r="D4" s="42">
        <f>'CVP Inputs'!B30</f>
        <v>469000</v>
      </c>
      <c r="E4" s="37">
        <f>C4+D4</f>
        <v>523500</v>
      </c>
      <c r="F4" s="43">
        <f>B4-E4</f>
        <v>-504432.20338983054</v>
      </c>
      <c r="G4" s="37">
        <f>A4*'CVP Inputs'!B14</f>
        <v>-35432.203389830502</v>
      </c>
      <c r="H4" s="44" t="str">
        <f>IF(F4&gt;=0,"Yes","No")</f>
        <v>No</v>
      </c>
    </row>
    <row r="5" spans="1:8" ht="15" customHeight="1" x14ac:dyDescent="0.3">
      <c r="A5" s="41">
        <v>2000</v>
      </c>
      <c r="B5" s="37">
        <f>A5*'CVP Inputs'!B7</f>
        <v>38135.593220338982</v>
      </c>
      <c r="C5" s="37">
        <f>A5*'CVP Inputs'!B12</f>
        <v>109000</v>
      </c>
      <c r="D5" s="42">
        <f>'CVP Inputs'!B30</f>
        <v>469000</v>
      </c>
      <c r="E5" s="37">
        <f t="shared" ref="E5:E40" si="0">C5+D5</f>
        <v>578000</v>
      </c>
      <c r="F5" s="43">
        <f t="shared" ref="F5:F40" si="1">B5-E5</f>
        <v>-539864.40677966108</v>
      </c>
      <c r="G5" s="37">
        <f>A5*'CVP Inputs'!B14</f>
        <v>-70864.406779661003</v>
      </c>
      <c r="H5" s="44" t="str">
        <f>IF(F5&gt;=0,"Yes","No")</f>
        <v>No</v>
      </c>
    </row>
    <row r="6" spans="1:8" ht="15" customHeight="1" x14ac:dyDescent="0.3">
      <c r="A6" s="41">
        <v>3000</v>
      </c>
      <c r="B6" s="37">
        <f>A6*'CVP Inputs'!B7</f>
        <v>57203.389830508473</v>
      </c>
      <c r="C6" s="37">
        <f>A6*'CVP Inputs'!B12</f>
        <v>163500</v>
      </c>
      <c r="D6" s="42">
        <f>'CVP Inputs'!B30</f>
        <v>469000</v>
      </c>
      <c r="E6" s="37">
        <f t="shared" si="0"/>
        <v>632500</v>
      </c>
      <c r="F6" s="43">
        <f t="shared" si="1"/>
        <v>-575296.6101694915</v>
      </c>
      <c r="G6" s="37">
        <f>A6*'CVP Inputs'!B14</f>
        <v>-106296.61016949151</v>
      </c>
      <c r="H6" s="44" t="str">
        <f>IF(F6&gt;=0,"Yes","No")</f>
        <v>No</v>
      </c>
    </row>
    <row r="7" spans="1:8" ht="15" customHeight="1" x14ac:dyDescent="0.3">
      <c r="A7" s="41">
        <v>4000</v>
      </c>
      <c r="B7" s="37">
        <f>A7*'CVP Inputs'!B7</f>
        <v>76271.186440677964</v>
      </c>
      <c r="C7" s="37">
        <f>A7*'CVP Inputs'!B12</f>
        <v>218000</v>
      </c>
      <c r="D7" s="42">
        <f>'CVP Inputs'!B30</f>
        <v>469000</v>
      </c>
      <c r="E7" s="37">
        <f t="shared" si="0"/>
        <v>687000</v>
      </c>
      <c r="F7" s="43">
        <f t="shared" si="1"/>
        <v>-610728.81355932204</v>
      </c>
      <c r="G7" s="37">
        <f>A7*'CVP Inputs'!B14</f>
        <v>-141728.81355932201</v>
      </c>
      <c r="H7" s="44" t="str">
        <f>IF(F7&gt;=0,"Yes","No")</f>
        <v>No</v>
      </c>
    </row>
    <row r="8" spans="1:8" ht="15" customHeight="1" x14ac:dyDescent="0.3">
      <c r="A8" s="45">
        <v>4680</v>
      </c>
      <c r="B8" s="46">
        <f>A8*'CVP Inputs'!B7</f>
        <v>89237.288135593219</v>
      </c>
      <c r="C8" s="46">
        <f>A8*'CVP Inputs'!B12</f>
        <v>255060</v>
      </c>
      <c r="D8" s="47">
        <f>'CVP Inputs'!B30</f>
        <v>469000</v>
      </c>
      <c r="E8" s="46">
        <f t="shared" si="0"/>
        <v>724060</v>
      </c>
      <c r="F8" s="48">
        <f t="shared" si="1"/>
        <v>-634822.71186440683</v>
      </c>
      <c r="G8" s="46">
        <f>A8*'CVP Inputs'!B14</f>
        <v>-165822.71186440677</v>
      </c>
      <c r="H8" s="49" t="s">
        <v>101</v>
      </c>
    </row>
    <row r="9" spans="1:8" ht="15" customHeight="1" x14ac:dyDescent="0.3">
      <c r="A9" s="45">
        <v>4800</v>
      </c>
      <c r="B9" s="46">
        <f>A9*'CVP Inputs'!B7</f>
        <v>91525.423728813563</v>
      </c>
      <c r="C9" s="46">
        <f>A9*'CVP Inputs'!B12</f>
        <v>261600</v>
      </c>
      <c r="D9" s="47">
        <f>'CVP Inputs'!B30</f>
        <v>469000</v>
      </c>
      <c r="E9" s="46">
        <f t="shared" si="0"/>
        <v>730600</v>
      </c>
      <c r="F9" s="48">
        <f t="shared" si="1"/>
        <v>-639074.57627118647</v>
      </c>
      <c r="G9" s="46">
        <f>A9*'CVP Inputs'!B14</f>
        <v>-170074.57627118644</v>
      </c>
      <c r="H9" s="49" t="s">
        <v>102</v>
      </c>
    </row>
    <row r="10" spans="1:8" ht="15" customHeight="1" x14ac:dyDescent="0.3">
      <c r="A10" s="41">
        <v>5000</v>
      </c>
      <c r="B10" s="37">
        <f>A10*'CVP Inputs'!B7</f>
        <v>95338.983050847455</v>
      </c>
      <c r="C10" s="37">
        <f>A10*'CVP Inputs'!B12</f>
        <v>272500</v>
      </c>
      <c r="D10" s="42">
        <f>'CVP Inputs'!B30</f>
        <v>469000</v>
      </c>
      <c r="E10" s="37">
        <f t="shared" si="0"/>
        <v>741500</v>
      </c>
      <c r="F10" s="43">
        <f t="shared" si="1"/>
        <v>-646161.01694915257</v>
      </c>
      <c r="G10" s="37">
        <f>A10*'CVP Inputs'!B14</f>
        <v>-177161.01694915252</v>
      </c>
      <c r="H10" s="44" t="str">
        <f>IF(F10&gt;=0,"Yes","No")</f>
        <v>No</v>
      </c>
    </row>
    <row r="11" spans="1:8" ht="15" customHeight="1" x14ac:dyDescent="0.3">
      <c r="A11" s="45">
        <v>5980</v>
      </c>
      <c r="B11" s="46">
        <f>A11*'CVP Inputs'!B7</f>
        <v>114025.42372881356</v>
      </c>
      <c r="C11" s="46">
        <f>A11*'CVP Inputs'!B12</f>
        <v>325910</v>
      </c>
      <c r="D11" s="47">
        <f>'CVP Inputs'!B30</f>
        <v>469000</v>
      </c>
      <c r="E11" s="46">
        <f t="shared" si="0"/>
        <v>794910</v>
      </c>
      <c r="F11" s="48">
        <f t="shared" si="1"/>
        <v>-680884.57627118647</v>
      </c>
      <c r="G11" s="46">
        <f>A11*'CVP Inputs'!B14</f>
        <v>-211884.57627118641</v>
      </c>
      <c r="H11" s="49" t="s">
        <v>103</v>
      </c>
    </row>
    <row r="12" spans="1:8" ht="15" customHeight="1" x14ac:dyDescent="0.3">
      <c r="A12" s="41">
        <v>6000</v>
      </c>
      <c r="B12" s="37">
        <f>A12*'CVP Inputs'!B7</f>
        <v>114406.77966101695</v>
      </c>
      <c r="C12" s="37">
        <f>A12*'CVP Inputs'!B12</f>
        <v>327000</v>
      </c>
      <c r="D12" s="42">
        <f>'CVP Inputs'!B30</f>
        <v>469000</v>
      </c>
      <c r="E12" s="37">
        <f t="shared" si="0"/>
        <v>796000</v>
      </c>
      <c r="F12" s="43">
        <f t="shared" si="1"/>
        <v>-681593.220338983</v>
      </c>
      <c r="G12" s="37">
        <f>A12*'CVP Inputs'!B14</f>
        <v>-212593.22033898302</v>
      </c>
      <c r="H12" s="44" t="str">
        <f t="shared" ref="H12:H40" si="2">IF(F12&gt;=0,"Yes","No")</f>
        <v>No</v>
      </c>
    </row>
    <row r="13" spans="1:8" ht="15" customHeight="1" x14ac:dyDescent="0.3">
      <c r="A13" s="41">
        <v>7000</v>
      </c>
      <c r="B13" s="37">
        <f>A13*'CVP Inputs'!B7</f>
        <v>133474.57627118644</v>
      </c>
      <c r="C13" s="37">
        <f>A13*'CVP Inputs'!B12</f>
        <v>381500</v>
      </c>
      <c r="D13" s="42">
        <f>'CVP Inputs'!B30</f>
        <v>469000</v>
      </c>
      <c r="E13" s="37">
        <f t="shared" si="0"/>
        <v>850500</v>
      </c>
      <c r="F13" s="43">
        <f t="shared" si="1"/>
        <v>-717025.42372881353</v>
      </c>
      <c r="G13" s="37">
        <f>A13*'CVP Inputs'!B14</f>
        <v>-248025.42372881353</v>
      </c>
      <c r="H13" s="44" t="str">
        <f t="shared" si="2"/>
        <v>No</v>
      </c>
    </row>
    <row r="14" spans="1:8" ht="15" customHeight="1" x14ac:dyDescent="0.3">
      <c r="A14" s="41">
        <v>8000</v>
      </c>
      <c r="B14" s="37">
        <f>A14*'CVP Inputs'!B7</f>
        <v>152542.37288135593</v>
      </c>
      <c r="C14" s="37">
        <f>A14*'CVP Inputs'!B12</f>
        <v>436000</v>
      </c>
      <c r="D14" s="42">
        <f>'CVP Inputs'!B30</f>
        <v>469000</v>
      </c>
      <c r="E14" s="37">
        <f t="shared" si="0"/>
        <v>905000</v>
      </c>
      <c r="F14" s="43">
        <f t="shared" si="1"/>
        <v>-752457.62711864407</v>
      </c>
      <c r="G14" s="37">
        <f>A14*'CVP Inputs'!B14</f>
        <v>-283457.62711864401</v>
      </c>
      <c r="H14" s="44" t="str">
        <f t="shared" si="2"/>
        <v>No</v>
      </c>
    </row>
    <row r="15" spans="1:8" ht="15" customHeight="1" x14ac:dyDescent="0.3">
      <c r="A15" s="41">
        <v>9000</v>
      </c>
      <c r="B15" s="37">
        <f>A15*'CVP Inputs'!B7</f>
        <v>171610.16949152542</v>
      </c>
      <c r="C15" s="37">
        <f>A15*'CVP Inputs'!B12</f>
        <v>490500</v>
      </c>
      <c r="D15" s="42">
        <f>'CVP Inputs'!B30</f>
        <v>469000</v>
      </c>
      <c r="E15" s="37">
        <f t="shared" si="0"/>
        <v>959500</v>
      </c>
      <c r="F15" s="43">
        <f t="shared" si="1"/>
        <v>-787889.83050847461</v>
      </c>
      <c r="G15" s="37">
        <f>A15*'CVP Inputs'!B14</f>
        <v>-318889.83050847455</v>
      </c>
      <c r="H15" s="44" t="str">
        <f t="shared" si="2"/>
        <v>No</v>
      </c>
    </row>
    <row r="16" spans="1:8" ht="15" customHeight="1" x14ac:dyDescent="0.3">
      <c r="A16" s="41">
        <v>10000</v>
      </c>
      <c r="B16" s="37">
        <f>A16*'CVP Inputs'!B7</f>
        <v>190677.96610169491</v>
      </c>
      <c r="C16" s="37">
        <f>A16*'CVP Inputs'!B12</f>
        <v>545000</v>
      </c>
      <c r="D16" s="42">
        <f>'CVP Inputs'!B30</f>
        <v>469000</v>
      </c>
      <c r="E16" s="37">
        <f t="shared" si="0"/>
        <v>1014000</v>
      </c>
      <c r="F16" s="43">
        <f t="shared" si="1"/>
        <v>-823322.03389830515</v>
      </c>
      <c r="G16" s="37">
        <f>A16*'CVP Inputs'!B14</f>
        <v>-354322.03389830503</v>
      </c>
      <c r="H16" s="44" t="str">
        <f t="shared" si="2"/>
        <v>No</v>
      </c>
    </row>
    <row r="17" spans="1:8" ht="15" customHeight="1" x14ac:dyDescent="0.3">
      <c r="A17" s="41">
        <v>11000</v>
      </c>
      <c r="B17" s="37">
        <f>A17*'CVP Inputs'!B7</f>
        <v>209745.7627118644</v>
      </c>
      <c r="C17" s="37">
        <f>A17*'CVP Inputs'!B12</f>
        <v>599500</v>
      </c>
      <c r="D17" s="42">
        <f>'CVP Inputs'!B30</f>
        <v>469000</v>
      </c>
      <c r="E17" s="37">
        <f t="shared" si="0"/>
        <v>1068500</v>
      </c>
      <c r="F17" s="43">
        <f t="shared" si="1"/>
        <v>-858754.23728813557</v>
      </c>
      <c r="G17" s="37">
        <f>A17*'CVP Inputs'!B14</f>
        <v>-389754.23728813557</v>
      </c>
      <c r="H17" s="44" t="str">
        <f t="shared" si="2"/>
        <v>No</v>
      </c>
    </row>
    <row r="18" spans="1:8" ht="15" customHeight="1" x14ac:dyDescent="0.3">
      <c r="A18" s="41">
        <v>12000</v>
      </c>
      <c r="B18" s="37">
        <f>A18*'CVP Inputs'!B7</f>
        <v>228813.55932203389</v>
      </c>
      <c r="C18" s="37">
        <f>A18*'CVP Inputs'!B12</f>
        <v>654000</v>
      </c>
      <c r="D18" s="42">
        <f>'CVP Inputs'!B30</f>
        <v>469000</v>
      </c>
      <c r="E18" s="37">
        <f t="shared" si="0"/>
        <v>1123000</v>
      </c>
      <c r="F18" s="84">
        <f t="shared" si="1"/>
        <v>-894186.44067796611</v>
      </c>
      <c r="G18" s="37">
        <f>A18*'CVP Inputs'!B14</f>
        <v>-425186.44067796605</v>
      </c>
      <c r="H18" s="85" t="str">
        <f t="shared" si="2"/>
        <v>No</v>
      </c>
    </row>
    <row r="19" spans="1:8" ht="15" customHeight="1" x14ac:dyDescent="0.3">
      <c r="A19" s="41">
        <v>13000</v>
      </c>
      <c r="B19" s="37">
        <f>A19*'CVP Inputs'!B7</f>
        <v>247881.35593220338</v>
      </c>
      <c r="C19" s="37">
        <f>A19*'CVP Inputs'!B12</f>
        <v>708500</v>
      </c>
      <c r="D19" s="42">
        <f>'CVP Inputs'!B30</f>
        <v>469000</v>
      </c>
      <c r="E19" s="37">
        <f t="shared" si="0"/>
        <v>1177500</v>
      </c>
      <c r="F19" s="84">
        <f t="shared" si="1"/>
        <v>-929618.64406779665</v>
      </c>
      <c r="G19" s="37">
        <f>A19*'CVP Inputs'!B14</f>
        <v>-460618.64406779659</v>
      </c>
      <c r="H19" s="85" t="str">
        <f t="shared" si="2"/>
        <v>No</v>
      </c>
    </row>
    <row r="20" spans="1:8" ht="15" customHeight="1" x14ac:dyDescent="0.3">
      <c r="A20" s="41">
        <v>14000</v>
      </c>
      <c r="B20" s="37">
        <f>A20*'CVP Inputs'!B7</f>
        <v>266949.15254237287</v>
      </c>
      <c r="C20" s="37">
        <f>A20*'CVP Inputs'!B12</f>
        <v>763000</v>
      </c>
      <c r="D20" s="42">
        <f>'CVP Inputs'!B30</f>
        <v>469000</v>
      </c>
      <c r="E20" s="37">
        <f t="shared" si="0"/>
        <v>1232000</v>
      </c>
      <c r="F20" s="84">
        <f t="shared" si="1"/>
        <v>-965050.84745762707</v>
      </c>
      <c r="G20" s="37">
        <f>A20*'CVP Inputs'!B14</f>
        <v>-496050.84745762707</v>
      </c>
      <c r="H20" s="85" t="str">
        <f t="shared" si="2"/>
        <v>No</v>
      </c>
    </row>
    <row r="21" spans="1:8" ht="15" customHeight="1" x14ac:dyDescent="0.3">
      <c r="A21" s="41">
        <v>15000</v>
      </c>
      <c r="B21" s="37">
        <f>A21*'CVP Inputs'!B7</f>
        <v>286016.94915254239</v>
      </c>
      <c r="C21" s="37">
        <f>A21*'CVP Inputs'!B12</f>
        <v>817500</v>
      </c>
      <c r="D21" s="42">
        <f>'CVP Inputs'!B30</f>
        <v>469000</v>
      </c>
      <c r="E21" s="37">
        <f t="shared" si="0"/>
        <v>1286500</v>
      </c>
      <c r="F21" s="84">
        <f t="shared" si="1"/>
        <v>-1000483.0508474576</v>
      </c>
      <c r="G21" s="37">
        <f>A21*'CVP Inputs'!B14</f>
        <v>-531483.05084745761</v>
      </c>
      <c r="H21" s="85" t="str">
        <f t="shared" si="2"/>
        <v>No</v>
      </c>
    </row>
    <row r="22" spans="1:8" ht="15" customHeight="1" x14ac:dyDescent="0.3">
      <c r="A22" s="41">
        <v>16000</v>
      </c>
      <c r="B22" s="37">
        <f>A22*'CVP Inputs'!B7</f>
        <v>305084.74576271186</v>
      </c>
      <c r="C22" s="37">
        <f>A22*'CVP Inputs'!B12</f>
        <v>872000</v>
      </c>
      <c r="D22" s="42">
        <f>'CVP Inputs'!B30</f>
        <v>469000</v>
      </c>
      <c r="E22" s="37">
        <f t="shared" si="0"/>
        <v>1341000</v>
      </c>
      <c r="F22" s="84">
        <f t="shared" si="1"/>
        <v>-1035915.2542372881</v>
      </c>
      <c r="G22" s="37">
        <f>A22*'CVP Inputs'!B14</f>
        <v>-566915.25423728803</v>
      </c>
      <c r="H22" s="85" t="str">
        <f t="shared" si="2"/>
        <v>No</v>
      </c>
    </row>
    <row r="23" spans="1:8" ht="15" customHeight="1" x14ac:dyDescent="0.3">
      <c r="A23" s="41">
        <v>18000</v>
      </c>
      <c r="B23" s="37">
        <f>A23*'CVP Inputs'!B7</f>
        <v>343220.33898305084</v>
      </c>
      <c r="C23" s="37">
        <f>A23*'CVP Inputs'!B12</f>
        <v>981000</v>
      </c>
      <c r="D23" s="42">
        <f>'CVP Inputs'!B30</f>
        <v>469000</v>
      </c>
      <c r="E23" s="37">
        <f t="shared" si="0"/>
        <v>1450000</v>
      </c>
      <c r="F23" s="84">
        <f t="shared" si="1"/>
        <v>-1106779.6610169492</v>
      </c>
      <c r="G23" s="37">
        <f>A23*'CVP Inputs'!B14</f>
        <v>-637779.6610169491</v>
      </c>
      <c r="H23" s="85" t="str">
        <f t="shared" si="2"/>
        <v>No</v>
      </c>
    </row>
    <row r="24" spans="1:8" ht="15" customHeight="1" x14ac:dyDescent="0.3">
      <c r="A24" s="41">
        <v>20000</v>
      </c>
      <c r="B24" s="37">
        <f>A24*'CVP Inputs'!B7</f>
        <v>381355.93220338982</v>
      </c>
      <c r="C24" s="37">
        <f>A24*'CVP Inputs'!B12</f>
        <v>1090000</v>
      </c>
      <c r="D24" s="42">
        <f>'CVP Inputs'!B30</f>
        <v>469000</v>
      </c>
      <c r="E24" s="37">
        <f t="shared" si="0"/>
        <v>1559000</v>
      </c>
      <c r="F24" s="84">
        <f t="shared" si="1"/>
        <v>-1177644.0677966103</v>
      </c>
      <c r="G24" s="37">
        <f>A24*'CVP Inputs'!B14</f>
        <v>-708644.06779661006</v>
      </c>
      <c r="H24" s="85" t="str">
        <f t="shared" si="2"/>
        <v>No</v>
      </c>
    </row>
    <row r="25" spans="1:8" ht="15" customHeight="1" x14ac:dyDescent="0.3">
      <c r="A25" s="41">
        <v>25000</v>
      </c>
      <c r="B25" s="37">
        <f>A25*'CVP Inputs'!$B$7</f>
        <v>476694.9152542373</v>
      </c>
      <c r="C25" s="37">
        <f>A25*'CVP Inputs'!$B$12</f>
        <v>1362500</v>
      </c>
      <c r="D25" s="42">
        <f>'CVP Inputs'!$B$30</f>
        <v>469000</v>
      </c>
      <c r="E25" s="37">
        <f t="shared" si="0"/>
        <v>1831500</v>
      </c>
      <c r="F25" s="84">
        <f t="shared" si="1"/>
        <v>-1354805.0847457626</v>
      </c>
      <c r="G25" s="37">
        <f>A25*'CVP Inputs'!$B$14</f>
        <v>-885805.08474576264</v>
      </c>
      <c r="H25" s="85" t="str">
        <f t="shared" si="2"/>
        <v>No</v>
      </c>
    </row>
    <row r="26" spans="1:8" x14ac:dyDescent="0.3">
      <c r="A26" s="41">
        <v>30000</v>
      </c>
      <c r="B26" s="37">
        <f>A26*'CVP Inputs'!$B$7</f>
        <v>572033.89830508479</v>
      </c>
      <c r="C26" s="37">
        <f>A26*'CVP Inputs'!$B$12</f>
        <v>1635000</v>
      </c>
      <c r="D26" s="42">
        <f>'CVP Inputs'!$B$30</f>
        <v>469000</v>
      </c>
      <c r="E26" s="37">
        <f t="shared" si="0"/>
        <v>2104000</v>
      </c>
      <c r="F26" s="84">
        <f t="shared" si="1"/>
        <v>-1531966.1016949152</v>
      </c>
      <c r="G26" s="37">
        <f>A26*'CVP Inputs'!$B$14</f>
        <v>-1062966.1016949152</v>
      </c>
      <c r="H26" s="85" t="str">
        <f t="shared" si="2"/>
        <v>No</v>
      </c>
    </row>
    <row r="27" spans="1:8" ht="13.5" customHeight="1" x14ac:dyDescent="0.3">
      <c r="A27" s="41">
        <v>40000</v>
      </c>
      <c r="B27" s="37">
        <f>A27*'CVP Inputs'!$B$7</f>
        <v>762711.86440677964</v>
      </c>
      <c r="C27" s="37">
        <f>A27*'CVP Inputs'!$B$12</f>
        <v>2180000</v>
      </c>
      <c r="D27" s="42">
        <f>'CVP Inputs'!$B$30</f>
        <v>469000</v>
      </c>
      <c r="E27" s="37">
        <f t="shared" si="0"/>
        <v>2649000</v>
      </c>
      <c r="F27" s="84">
        <f t="shared" si="1"/>
        <v>-1886288.1355932204</v>
      </c>
      <c r="G27" s="37">
        <f>A27*'CVP Inputs'!$B$14</f>
        <v>-1417288.1355932201</v>
      </c>
      <c r="H27" s="85" t="str">
        <f t="shared" si="2"/>
        <v>No</v>
      </c>
    </row>
    <row r="28" spans="1:8" x14ac:dyDescent="0.3">
      <c r="A28" s="41">
        <v>50000</v>
      </c>
      <c r="B28" s="37">
        <f>A28*'CVP Inputs'!$B$7</f>
        <v>953389.83050847461</v>
      </c>
      <c r="C28" s="37">
        <f>A28*'CVP Inputs'!$B$12</f>
        <v>2725000</v>
      </c>
      <c r="D28" s="42">
        <f>'CVP Inputs'!$B$30</f>
        <v>469000</v>
      </c>
      <c r="E28" s="37">
        <f t="shared" si="0"/>
        <v>3194000</v>
      </c>
      <c r="F28" s="84">
        <f t="shared" si="1"/>
        <v>-2240610.1694915253</v>
      </c>
      <c r="G28" s="37">
        <f>A28*'CVP Inputs'!$B$14</f>
        <v>-1771610.1694915253</v>
      </c>
      <c r="H28" s="85" t="str">
        <f t="shared" si="2"/>
        <v>No</v>
      </c>
    </row>
    <row r="29" spans="1:8" x14ac:dyDescent="0.3">
      <c r="A29" s="41">
        <v>60000</v>
      </c>
      <c r="B29" s="37">
        <f>A29*'CVP Inputs'!$B$7</f>
        <v>1144067.7966101696</v>
      </c>
      <c r="C29" s="37">
        <f>A29*'CVP Inputs'!$B$12</f>
        <v>3270000</v>
      </c>
      <c r="D29" s="42">
        <f>'CVP Inputs'!$B$30</f>
        <v>469000</v>
      </c>
      <c r="E29" s="37">
        <f t="shared" si="0"/>
        <v>3739000</v>
      </c>
      <c r="F29" s="84">
        <f t="shared" si="1"/>
        <v>-2594932.2033898304</v>
      </c>
      <c r="G29" s="37">
        <f>A29*'CVP Inputs'!$B$14</f>
        <v>-2125932.2033898304</v>
      </c>
      <c r="H29" s="85" t="str">
        <f t="shared" si="2"/>
        <v>No</v>
      </c>
    </row>
    <row r="30" spans="1:8" x14ac:dyDescent="0.3">
      <c r="A30" s="41">
        <v>70000</v>
      </c>
      <c r="B30" s="37">
        <f>A30*'CVP Inputs'!$B$7</f>
        <v>1334745.7627118644</v>
      </c>
      <c r="C30" s="37">
        <f>A30*'CVP Inputs'!$B$12</f>
        <v>3815000</v>
      </c>
      <c r="D30" s="42">
        <f>'CVP Inputs'!$B$30</f>
        <v>469000</v>
      </c>
      <c r="E30" s="37">
        <f t="shared" si="0"/>
        <v>4284000</v>
      </c>
      <c r="F30" s="84">
        <f t="shared" si="1"/>
        <v>-2949254.2372881356</v>
      </c>
      <c r="G30" s="37">
        <f>A30*'CVP Inputs'!$B$14</f>
        <v>-2480254.2372881356</v>
      </c>
      <c r="H30" s="85" t="str">
        <f t="shared" si="2"/>
        <v>No</v>
      </c>
    </row>
    <row r="31" spans="1:8" x14ac:dyDescent="0.3">
      <c r="A31" s="41">
        <v>80000</v>
      </c>
      <c r="B31" s="37">
        <f>A31*'CVP Inputs'!$B$7</f>
        <v>1525423.7288135593</v>
      </c>
      <c r="C31" s="37">
        <f>A31*'CVP Inputs'!$B$12</f>
        <v>4360000</v>
      </c>
      <c r="D31" s="42">
        <f>'CVP Inputs'!$B$30</f>
        <v>469000</v>
      </c>
      <c r="E31" s="37">
        <f t="shared" si="0"/>
        <v>4829000</v>
      </c>
      <c r="F31" s="84">
        <f t="shared" si="1"/>
        <v>-3303576.2711864407</v>
      </c>
      <c r="G31" s="37">
        <f>A31*'CVP Inputs'!$B$14</f>
        <v>-2834576.2711864403</v>
      </c>
      <c r="H31" s="85" t="str">
        <f t="shared" si="2"/>
        <v>No</v>
      </c>
    </row>
    <row r="32" spans="1:8" x14ac:dyDescent="0.3">
      <c r="A32" s="41">
        <v>90000</v>
      </c>
      <c r="B32" s="37">
        <f>A32*'CVP Inputs'!$B$7</f>
        <v>1716101.6949152541</v>
      </c>
      <c r="C32" s="37">
        <f>A32*'CVP Inputs'!$B$12</f>
        <v>4905000</v>
      </c>
      <c r="D32" s="42">
        <f>'CVP Inputs'!$B$30</f>
        <v>469000</v>
      </c>
      <c r="E32" s="37">
        <f t="shared" si="0"/>
        <v>5374000</v>
      </c>
      <c r="F32" s="84">
        <f t="shared" si="1"/>
        <v>-3657898.3050847459</v>
      </c>
      <c r="G32" s="37">
        <f>A32*'CVP Inputs'!$B$14</f>
        <v>-3188898.3050847454</v>
      </c>
      <c r="H32" s="85" t="str">
        <f t="shared" si="2"/>
        <v>No</v>
      </c>
    </row>
    <row r="33" spans="1:8" x14ac:dyDescent="0.3">
      <c r="A33" s="41">
        <v>100000</v>
      </c>
      <c r="B33" s="37">
        <f>A33*'CVP Inputs'!$B$7</f>
        <v>1906779.6610169492</v>
      </c>
      <c r="C33" s="37">
        <f>A33*'CVP Inputs'!$B$12</f>
        <v>5450000</v>
      </c>
      <c r="D33" s="42">
        <f>'CVP Inputs'!$B$30</f>
        <v>469000</v>
      </c>
      <c r="E33" s="37">
        <f t="shared" si="0"/>
        <v>5919000</v>
      </c>
      <c r="F33" s="84">
        <f t="shared" si="1"/>
        <v>-4012220.3389830505</v>
      </c>
      <c r="G33" s="37">
        <f>A33*'CVP Inputs'!$B$14</f>
        <v>-3543220.3389830505</v>
      </c>
      <c r="H33" s="85" t="str">
        <f t="shared" si="2"/>
        <v>No</v>
      </c>
    </row>
    <row r="34" spans="1:8" x14ac:dyDescent="0.3">
      <c r="A34" s="41">
        <v>200000</v>
      </c>
      <c r="B34" s="37">
        <f>A34*'CVP Inputs'!$B$7</f>
        <v>3813559.3220338984</v>
      </c>
      <c r="C34" s="37">
        <f>A34*'CVP Inputs'!$B$12</f>
        <v>10900000</v>
      </c>
      <c r="D34" s="42">
        <f>'CVP Inputs'!$B$30</f>
        <v>469000</v>
      </c>
      <c r="E34" s="37">
        <f t="shared" si="0"/>
        <v>11369000</v>
      </c>
      <c r="F34" s="84">
        <f t="shared" si="1"/>
        <v>-7555440.6779661011</v>
      </c>
      <c r="G34" s="37">
        <f>A34*'CVP Inputs'!$B$14</f>
        <v>-7086440.6779661011</v>
      </c>
      <c r="H34" s="85" t="str">
        <f t="shared" si="2"/>
        <v>No</v>
      </c>
    </row>
    <row r="35" spans="1:8" x14ac:dyDescent="0.3">
      <c r="A35" s="41">
        <v>300000</v>
      </c>
      <c r="B35" s="37">
        <f>A35*'CVP Inputs'!$B$7</f>
        <v>5720338.9830508474</v>
      </c>
      <c r="C35" s="37">
        <f>A35*'CVP Inputs'!$B$12</f>
        <v>16350000</v>
      </c>
      <c r="D35" s="42">
        <f>'CVP Inputs'!$B$30</f>
        <v>469000</v>
      </c>
      <c r="E35" s="37">
        <f t="shared" si="0"/>
        <v>16819000</v>
      </c>
      <c r="F35" s="84">
        <f t="shared" si="1"/>
        <v>-11098661.016949153</v>
      </c>
      <c r="G35" s="37">
        <f>A35*'CVP Inputs'!$B$14</f>
        <v>-10629661.016949151</v>
      </c>
      <c r="H35" s="85" t="str">
        <f t="shared" si="2"/>
        <v>No</v>
      </c>
    </row>
    <row r="36" spans="1:8" x14ac:dyDescent="0.3">
      <c r="A36" s="41">
        <v>400000</v>
      </c>
      <c r="B36" s="37">
        <f>A36*'CVP Inputs'!$B$7</f>
        <v>7627118.6440677969</v>
      </c>
      <c r="C36" s="37">
        <f>A36*'CVP Inputs'!$B$12</f>
        <v>21800000</v>
      </c>
      <c r="D36" s="42">
        <f>'CVP Inputs'!$B$30</f>
        <v>469000</v>
      </c>
      <c r="E36" s="37">
        <f t="shared" si="0"/>
        <v>22269000</v>
      </c>
      <c r="F36" s="84">
        <f t="shared" si="1"/>
        <v>-14641881.355932202</v>
      </c>
      <c r="G36" s="37">
        <f>A36*'CVP Inputs'!$B$14</f>
        <v>-14172881.355932202</v>
      </c>
      <c r="H36" s="85" t="str">
        <f t="shared" si="2"/>
        <v>No</v>
      </c>
    </row>
    <row r="37" spans="1:8" x14ac:dyDescent="0.3">
      <c r="A37" s="41">
        <v>500000</v>
      </c>
      <c r="B37" s="37">
        <f>A37*'CVP Inputs'!$B$7</f>
        <v>9533898.3050847463</v>
      </c>
      <c r="C37" s="37">
        <f>A37*'CVP Inputs'!$B$12</f>
        <v>27250000</v>
      </c>
      <c r="D37" s="42">
        <f>'CVP Inputs'!$B$30</f>
        <v>469000</v>
      </c>
      <c r="E37" s="37">
        <f t="shared" si="0"/>
        <v>27719000</v>
      </c>
      <c r="F37" s="84">
        <f t="shared" si="1"/>
        <v>-18185101.694915254</v>
      </c>
      <c r="G37" s="37">
        <f>A37*'CVP Inputs'!$B$14</f>
        <v>-17716101.694915254</v>
      </c>
      <c r="H37" s="85" t="str">
        <f t="shared" si="2"/>
        <v>No</v>
      </c>
    </row>
    <row r="38" spans="1:8" x14ac:dyDescent="0.3">
      <c r="A38" s="41">
        <v>600000</v>
      </c>
      <c r="B38" s="37">
        <f>A38*'CVP Inputs'!$B$7</f>
        <v>11440677.966101695</v>
      </c>
      <c r="C38" s="37">
        <f>A38*'CVP Inputs'!$B$12</f>
        <v>32700000</v>
      </c>
      <c r="D38" s="42">
        <f>'CVP Inputs'!$B$30</f>
        <v>469000</v>
      </c>
      <c r="E38" s="37">
        <f t="shared" si="0"/>
        <v>33169000</v>
      </c>
      <c r="F38" s="84">
        <f t="shared" si="1"/>
        <v>-21728322.033898305</v>
      </c>
      <c r="G38" s="37">
        <f>A38*'CVP Inputs'!$B$14</f>
        <v>-21259322.033898301</v>
      </c>
      <c r="H38" s="85" t="str">
        <f t="shared" si="2"/>
        <v>No</v>
      </c>
    </row>
    <row r="39" spans="1:8" x14ac:dyDescent="0.3">
      <c r="A39" s="41">
        <v>700000</v>
      </c>
      <c r="B39" s="37">
        <f>A39*'CVP Inputs'!$B$7</f>
        <v>13347457.627118643</v>
      </c>
      <c r="C39" s="37">
        <f>A39*'CVP Inputs'!$B$12</f>
        <v>38150000</v>
      </c>
      <c r="D39" s="42">
        <f>'CVP Inputs'!$B$30</f>
        <v>469000</v>
      </c>
      <c r="E39" s="37">
        <f t="shared" si="0"/>
        <v>38619000</v>
      </c>
      <c r="F39" s="84">
        <f t="shared" si="1"/>
        <v>-25271542.372881357</v>
      </c>
      <c r="G39" s="37">
        <f>A39*'CVP Inputs'!$B$14</f>
        <v>-24802542.372881353</v>
      </c>
      <c r="H39" s="85" t="str">
        <f t="shared" si="2"/>
        <v>No</v>
      </c>
    </row>
    <row r="40" spans="1:8" x14ac:dyDescent="0.3">
      <c r="A40" s="41">
        <v>1000000</v>
      </c>
      <c r="B40" s="37">
        <f>A40*'CVP Inputs'!$B$7</f>
        <v>19067796.610169493</v>
      </c>
      <c r="C40" s="37">
        <f>A40*'CVP Inputs'!$B$12</f>
        <v>54500000</v>
      </c>
      <c r="D40" s="42">
        <f>'CVP Inputs'!$B$30</f>
        <v>469000</v>
      </c>
      <c r="E40" s="37">
        <f t="shared" si="0"/>
        <v>54969000</v>
      </c>
      <c r="F40" s="84">
        <f t="shared" si="1"/>
        <v>-35901203.389830507</v>
      </c>
      <c r="G40" s="37">
        <f>A40*'CVP Inputs'!$B$14</f>
        <v>-35432203.389830507</v>
      </c>
      <c r="H40" s="85" t="str">
        <f t="shared" si="2"/>
        <v>No</v>
      </c>
    </row>
    <row r="61" spans="1:8" x14ac:dyDescent="0.3">
      <c r="A61" s="108" t="s">
        <v>145</v>
      </c>
      <c r="B61" s="109"/>
      <c r="C61" s="109"/>
      <c r="D61" s="109"/>
      <c r="E61" s="110" t="s">
        <v>21</v>
      </c>
      <c r="F61" s="110"/>
      <c r="G61" s="110"/>
      <c r="H61" s="110"/>
    </row>
  </sheetData>
  <mergeCells count="4">
    <mergeCell ref="A1:H1"/>
    <mergeCell ref="A2:H2"/>
    <mergeCell ref="A61:D61"/>
    <mergeCell ref="E61:H61"/>
  </mergeCells>
  <pageMargins left="0.75" right="0.75" top="1" bottom="1" header="0.511811023622047" footer="0.511811023622047"/>
  <pageSetup paperSize="9" orientation="portrait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25"/>
  <sheetViews>
    <sheetView showGridLines="0" zoomScale="122" zoomScaleNormal="100" workbookViewId="0">
      <selection activeCell="H24" sqref="H24"/>
    </sheetView>
  </sheetViews>
  <sheetFormatPr defaultColWidth="8.6640625" defaultRowHeight="14.4" x14ac:dyDescent="0.3"/>
  <cols>
    <col min="1" max="1" width="36" customWidth="1"/>
    <col min="2" max="2" width="16" customWidth="1"/>
    <col min="3" max="4" width="18" customWidth="1"/>
    <col min="5" max="5" width="16" customWidth="1"/>
    <col min="6" max="6" width="20" customWidth="1"/>
    <col min="7" max="7" width="3.77734375" customWidth="1"/>
  </cols>
  <sheetData>
    <row r="1" spans="1:6" ht="30" customHeight="1" x14ac:dyDescent="0.3">
      <c r="A1" s="117" t="s">
        <v>169</v>
      </c>
      <c r="B1" s="118"/>
      <c r="C1" s="118"/>
      <c r="D1" s="118"/>
      <c r="E1" s="118"/>
      <c r="F1" s="118"/>
    </row>
    <row r="2" spans="1:6" ht="15.75" customHeight="1" x14ac:dyDescent="0.3">
      <c r="A2" s="100"/>
      <c r="B2" s="100"/>
      <c r="C2" s="100"/>
      <c r="D2" s="100"/>
      <c r="E2" s="100"/>
      <c r="F2" s="100"/>
    </row>
    <row r="3" spans="1:6" ht="18" customHeight="1" x14ac:dyDescent="0.3">
      <c r="A3" s="115" t="s">
        <v>170</v>
      </c>
      <c r="B3" s="96"/>
      <c r="C3" s="96"/>
      <c r="D3" s="96"/>
      <c r="E3" s="96"/>
      <c r="F3" s="96"/>
    </row>
    <row r="4" spans="1:6" ht="18" customHeight="1" x14ac:dyDescent="0.3">
      <c r="A4" s="50" t="s">
        <v>104</v>
      </c>
      <c r="B4" s="1" t="s">
        <v>105</v>
      </c>
      <c r="C4" s="2" t="s">
        <v>106</v>
      </c>
      <c r="D4" s="3" t="s">
        <v>107</v>
      </c>
      <c r="E4" s="51" t="s">
        <v>108</v>
      </c>
      <c r="F4" s="4" t="s">
        <v>109</v>
      </c>
    </row>
    <row r="5" spans="1:6" ht="15" customHeight="1" x14ac:dyDescent="0.3">
      <c r="A5" s="5" t="s">
        <v>23</v>
      </c>
      <c r="B5" s="37">
        <f>'CVP Inputs'!B4</f>
        <v>150</v>
      </c>
      <c r="C5" s="37">
        <f>'CVP Inputs'!B4</f>
        <v>150</v>
      </c>
      <c r="D5" s="37">
        <f>'CVP Inputs'!B4*1.1</f>
        <v>165</v>
      </c>
      <c r="E5" s="37">
        <f>'CVP Inputs'!B4</f>
        <v>150</v>
      </c>
      <c r="F5" s="37">
        <f>'CVP Inputs'!B4*0.9</f>
        <v>135</v>
      </c>
    </row>
    <row r="6" spans="1:6" ht="15" customHeight="1" x14ac:dyDescent="0.3">
      <c r="A6" s="5" t="s">
        <v>32</v>
      </c>
      <c r="B6" s="37">
        <f>'CVP Inputs'!B9</f>
        <v>50</v>
      </c>
      <c r="C6" s="37">
        <f>'CVP Inputs'!B9*1.1</f>
        <v>55.000000000000007</v>
      </c>
      <c r="D6" s="37">
        <f>'CVP Inputs'!B9</f>
        <v>50</v>
      </c>
      <c r="E6" s="37">
        <f>'CVP Inputs'!B9</f>
        <v>50</v>
      </c>
      <c r="F6" s="37">
        <f>'CVP Inputs'!B9*1.1</f>
        <v>55.000000000000007</v>
      </c>
    </row>
    <row r="7" spans="1:6" ht="15" customHeight="1" x14ac:dyDescent="0.3">
      <c r="A7" s="5" t="s">
        <v>34</v>
      </c>
      <c r="B7" s="37">
        <f>'CVP Inputs'!B10</f>
        <v>3</v>
      </c>
      <c r="C7" s="37">
        <f>'CVP Inputs'!B10*1.1</f>
        <v>3.3000000000000003</v>
      </c>
      <c r="D7" s="37">
        <f>'CVP Inputs'!B10</f>
        <v>3</v>
      </c>
      <c r="E7" s="37">
        <f>'CVP Inputs'!B10</f>
        <v>3</v>
      </c>
      <c r="F7" s="37">
        <f>'CVP Inputs'!B10*1.1</f>
        <v>3.3000000000000003</v>
      </c>
    </row>
    <row r="8" spans="1:6" ht="15" customHeight="1" x14ac:dyDescent="0.3">
      <c r="A8" s="5" t="s">
        <v>35</v>
      </c>
      <c r="B8" s="37">
        <f>'CVP Inputs'!B11</f>
        <v>1.5</v>
      </c>
      <c r="C8" s="37">
        <f>'CVP Inputs'!B11*1.1</f>
        <v>1.6500000000000001</v>
      </c>
      <c r="D8" s="37">
        <f>'CVP Inputs'!B11</f>
        <v>1.5</v>
      </c>
      <c r="E8" s="37">
        <f>'CVP Inputs'!B11</f>
        <v>1.5</v>
      </c>
      <c r="F8" s="37">
        <f>'CVP Inputs'!B11*1.1</f>
        <v>1.6500000000000001</v>
      </c>
    </row>
    <row r="9" spans="1:6" ht="15" customHeight="1" x14ac:dyDescent="0.3">
      <c r="A9" s="5" t="s">
        <v>70</v>
      </c>
      <c r="B9" s="37">
        <f>'CVP Inputs'!B30</f>
        <v>469000</v>
      </c>
      <c r="C9" s="37">
        <f>'CVP Inputs'!B30</f>
        <v>469000</v>
      </c>
      <c r="D9" s="37">
        <f>'CVP Inputs'!B30</f>
        <v>469000</v>
      </c>
      <c r="E9" s="37">
        <f>'CVP Inputs'!B30*0.9</f>
        <v>422100</v>
      </c>
      <c r="F9" s="37">
        <f>'CVP Inputs'!B30</f>
        <v>469000</v>
      </c>
    </row>
    <row r="10" spans="1:6" ht="18" customHeight="1" x14ac:dyDescent="0.3">
      <c r="A10" s="119" t="s">
        <v>171</v>
      </c>
      <c r="B10" s="105"/>
      <c r="C10" s="105"/>
      <c r="D10" s="105"/>
      <c r="E10" s="105"/>
      <c r="F10" s="105"/>
    </row>
    <row r="11" spans="1:6" ht="15" customHeight="1" x14ac:dyDescent="0.3">
      <c r="A11" s="5" t="s">
        <v>30</v>
      </c>
      <c r="B11" s="37">
        <f>B5*'CVP Inputs'!B5/(1+'CVP Inputs'!B6)</f>
        <v>19.067796610169491</v>
      </c>
      <c r="C11" s="37">
        <f>C5*'CVP Inputs'!B5/(1+'CVP Inputs'!B6)</f>
        <v>19.067796610169491</v>
      </c>
      <c r="D11" s="37">
        <f>D5*'CVP Inputs'!B5/(1+'CVP Inputs'!B6)</f>
        <v>20.974576271186443</v>
      </c>
      <c r="E11" s="37">
        <f>E5*'CVP Inputs'!B5/(1+'CVP Inputs'!B6)</f>
        <v>19.067796610169491</v>
      </c>
      <c r="F11" s="37">
        <f>F5*'CVP Inputs'!B5/(1+'CVP Inputs'!B6)</f>
        <v>17.161016949152543</v>
      </c>
    </row>
    <row r="12" spans="1:6" ht="15" customHeight="1" x14ac:dyDescent="0.3">
      <c r="A12" s="5" t="s">
        <v>37</v>
      </c>
      <c r="B12" s="37">
        <f>B6+B7+B8</f>
        <v>54.5</v>
      </c>
      <c r="C12" s="37">
        <f>C6+C7+C8</f>
        <v>59.95</v>
      </c>
      <c r="D12" s="37">
        <f>D6+D7+D8</f>
        <v>54.5</v>
      </c>
      <c r="E12" s="37">
        <f>E6+E7+E8</f>
        <v>54.5</v>
      </c>
      <c r="F12" s="37">
        <f>F6+F7+F8</f>
        <v>59.95</v>
      </c>
    </row>
    <row r="13" spans="1:6" ht="15" customHeight="1" x14ac:dyDescent="0.3">
      <c r="A13" s="9" t="s">
        <v>75</v>
      </c>
      <c r="B13" s="28">
        <f>B11-B12</f>
        <v>-35.432203389830505</v>
      </c>
      <c r="C13" s="28">
        <f>C11-C12</f>
        <v>-40.882203389830508</v>
      </c>
      <c r="D13" s="28">
        <f>D11-D12</f>
        <v>-33.525423728813557</v>
      </c>
      <c r="E13" s="28">
        <f>E11-E12</f>
        <v>-35.432203389830505</v>
      </c>
      <c r="F13" s="28">
        <f>F11-F12</f>
        <v>-42.788983050847463</v>
      </c>
    </row>
    <row r="14" spans="1:6" ht="15" customHeight="1" x14ac:dyDescent="0.3">
      <c r="A14" s="5" t="s">
        <v>8</v>
      </c>
      <c r="B14" s="37">
        <f>IFERROR(B13/B11,0)</f>
        <v>-1.858222222222222</v>
      </c>
      <c r="C14" s="37">
        <f>IFERROR(C13/C11,0)</f>
        <v>-2.1440444444444444</v>
      </c>
      <c r="D14" s="37">
        <f>IFERROR(D13/D11,0)</f>
        <v>-1.598383838383838</v>
      </c>
      <c r="E14" s="37">
        <f>IFERROR(E13/E11,0)</f>
        <v>-1.858222222222222</v>
      </c>
      <c r="F14" s="37">
        <f>IFERROR(F13/F11,0)</f>
        <v>-2.4933827160493829</v>
      </c>
    </row>
    <row r="15" spans="1:6" ht="18" customHeight="1" x14ac:dyDescent="0.3">
      <c r="A15" s="120" t="s">
        <v>172</v>
      </c>
      <c r="B15" s="104"/>
      <c r="C15" s="104"/>
      <c r="D15" s="104"/>
      <c r="E15" s="104"/>
      <c r="F15" s="104"/>
    </row>
    <row r="16" spans="1:6" ht="15" customHeight="1" x14ac:dyDescent="0.3">
      <c r="A16" s="9" t="s">
        <v>11</v>
      </c>
      <c r="B16" s="31">
        <f>IFERROR(B9/B13,0)</f>
        <v>-13236.546280794069</v>
      </c>
      <c r="C16" s="31">
        <f>IFERROR(C9/C13,0)</f>
        <v>-11471.984411600091</v>
      </c>
      <c r="D16" s="31">
        <f>IFERROR(D9/D13,0)</f>
        <v>-13989.38321536906</v>
      </c>
      <c r="E16" s="31">
        <f>IFERROR(E9/E13,0)</f>
        <v>-11912.891652714663</v>
      </c>
      <c r="F16" s="31">
        <f>IFERROR(F9/F13,0)</f>
        <v>-10960.765284902258</v>
      </c>
    </row>
    <row r="17" spans="1:6" ht="15" customHeight="1" x14ac:dyDescent="0.3">
      <c r="A17" s="9" t="s">
        <v>12</v>
      </c>
      <c r="B17" s="32">
        <f>IFERROR(B16/30,0)</f>
        <v>-441.2182093598023</v>
      </c>
      <c r="C17" s="32">
        <f>IFERROR(C16/30,0)</f>
        <v>-382.39948038666972</v>
      </c>
      <c r="D17" s="32">
        <f>IFERROR(D16/30,0)</f>
        <v>-466.31277384563532</v>
      </c>
      <c r="E17" s="32">
        <f>IFERROR(E16/30,0)</f>
        <v>-397.09638842382208</v>
      </c>
      <c r="F17" s="32">
        <f>IFERROR(F16/30,0)</f>
        <v>-365.35884283007528</v>
      </c>
    </row>
    <row r="18" spans="1:6" ht="15" customHeight="1" x14ac:dyDescent="0.3">
      <c r="A18" s="9" t="s">
        <v>13</v>
      </c>
      <c r="B18" s="28">
        <f>B16*B11</f>
        <v>-252391.77230327675</v>
      </c>
      <c r="C18" s="28">
        <f>C16*C11</f>
        <v>-218745.46547542547</v>
      </c>
      <c r="D18" s="28">
        <f>D16*D11</f>
        <v>-293421.38523761381</v>
      </c>
      <c r="E18" s="28">
        <f>E16*E11</f>
        <v>-227152.59507294907</v>
      </c>
      <c r="F18" s="28">
        <f>F16*F11</f>
        <v>-188097.87882989045</v>
      </c>
    </row>
    <row r="19" spans="1:6" ht="15" customHeight="1" x14ac:dyDescent="0.3">
      <c r="A19" s="38" t="s">
        <v>110</v>
      </c>
      <c r="B19" s="87" t="s">
        <v>173</v>
      </c>
      <c r="C19" s="52">
        <f>C16-B16</f>
        <v>1764.5618691939781</v>
      </c>
      <c r="D19" s="52">
        <f>D16-B16</f>
        <v>-752.83693457499066</v>
      </c>
      <c r="E19" s="52">
        <f>E16-B16</f>
        <v>1323.6546280794064</v>
      </c>
      <c r="F19" s="52">
        <f>F16-B16</f>
        <v>2275.7809958918115</v>
      </c>
    </row>
    <row r="20" spans="1:6" ht="15" customHeight="1" x14ac:dyDescent="0.3">
      <c r="A20" s="38" t="s">
        <v>111</v>
      </c>
      <c r="B20" s="86" t="s">
        <v>173</v>
      </c>
      <c r="C20" s="53">
        <f>IFERROR((C16-B16)/B16,0)</f>
        <v>-0.13330984017744249</v>
      </c>
      <c r="D20" s="53">
        <f>IFERROR((D16-B16)/B16,0)</f>
        <v>5.6875631951466075E-2</v>
      </c>
      <c r="E20" s="53">
        <f>IFERROR((E16-B16)/B16,0)</f>
        <v>-9.9999999999999964E-2</v>
      </c>
      <c r="F20" s="53">
        <f>IFERROR((F16-B16)/B16,0)</f>
        <v>-0.17193163137985007</v>
      </c>
    </row>
    <row r="22" spans="1:6" ht="18" customHeight="1" x14ac:dyDescent="0.3">
      <c r="A22" s="106" t="s">
        <v>174</v>
      </c>
      <c r="B22" s="107"/>
      <c r="C22" s="107"/>
      <c r="D22" s="107"/>
      <c r="E22" s="107"/>
      <c r="F22" s="107"/>
    </row>
    <row r="23" spans="1:6" ht="138" customHeight="1" x14ac:dyDescent="0.3">
      <c r="A23" s="54"/>
      <c r="B23" s="55" t="s">
        <v>112</v>
      </c>
      <c r="C23" s="55" t="s">
        <v>113</v>
      </c>
      <c r="D23" s="55" t="s">
        <v>114</v>
      </c>
      <c r="E23" s="55" t="s">
        <v>115</v>
      </c>
      <c r="F23" s="55" t="s">
        <v>116</v>
      </c>
    </row>
    <row r="25" spans="1:6" ht="13.5" customHeight="1" x14ac:dyDescent="0.3">
      <c r="A25" s="109" t="s">
        <v>20</v>
      </c>
      <c r="B25" s="109"/>
      <c r="C25" s="109"/>
      <c r="D25" s="110" t="s">
        <v>21</v>
      </c>
      <c r="E25" s="110"/>
      <c r="F25" s="110"/>
    </row>
  </sheetData>
  <mergeCells count="8">
    <mergeCell ref="A22:F22"/>
    <mergeCell ref="A25:C25"/>
    <mergeCell ref="D25:F25"/>
    <mergeCell ref="A1:F1"/>
    <mergeCell ref="A2:F2"/>
    <mergeCell ref="A3:F3"/>
    <mergeCell ref="A10:F10"/>
    <mergeCell ref="A15:F15"/>
  </mergeCells>
  <pageMargins left="0.75" right="0.75" top="1" bottom="1" header="0.511811023622047" footer="0.511811023622047"/>
  <pageSetup paperSize="9" orientation="portrait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25"/>
  <sheetViews>
    <sheetView showGridLines="0" tabSelected="1" zoomScale="127" zoomScaleNormal="100" workbookViewId="0">
      <selection activeCell="C29" sqref="C29"/>
    </sheetView>
  </sheetViews>
  <sheetFormatPr defaultColWidth="8.6640625" defaultRowHeight="14.4" x14ac:dyDescent="0.3"/>
  <cols>
    <col min="1" max="1" width="44.5546875" bestFit="1" customWidth="1"/>
    <col min="2" max="5" width="16" customWidth="1"/>
    <col min="6" max="6" width="18" customWidth="1"/>
    <col min="7" max="7" width="13.44140625" customWidth="1"/>
    <col min="9" max="9" width="21" customWidth="1"/>
  </cols>
  <sheetData>
    <row r="1" spans="1:9" ht="30" customHeight="1" x14ac:dyDescent="0.3">
      <c r="A1" s="94" t="s">
        <v>175</v>
      </c>
      <c r="B1" s="95"/>
      <c r="C1" s="95"/>
      <c r="D1" s="95"/>
      <c r="E1" s="95"/>
      <c r="F1" s="95"/>
      <c r="G1" s="95"/>
      <c r="H1" s="95"/>
      <c r="I1" s="95"/>
    </row>
    <row r="2" spans="1:9" ht="21" customHeight="1" x14ac:dyDescent="0.3">
      <c r="A2" s="98" t="s">
        <v>117</v>
      </c>
      <c r="B2" s="99"/>
      <c r="C2" s="99"/>
      <c r="D2" s="99"/>
      <c r="E2" s="99"/>
      <c r="F2" s="99"/>
      <c r="G2" s="99"/>
      <c r="H2" s="99"/>
      <c r="I2" s="99"/>
    </row>
    <row r="3" spans="1:9" ht="18" customHeight="1" x14ac:dyDescent="0.3">
      <c r="A3" s="96" t="s">
        <v>118</v>
      </c>
      <c r="B3" s="96"/>
      <c r="C3" s="96"/>
      <c r="D3" s="96"/>
      <c r="E3" s="96"/>
      <c r="F3" s="96"/>
      <c r="G3" s="96"/>
      <c r="H3" s="96"/>
      <c r="I3" s="96"/>
    </row>
    <row r="4" spans="1:9" ht="18.75" customHeight="1" x14ac:dyDescent="0.3">
      <c r="A4" s="88" t="s">
        <v>176</v>
      </c>
      <c r="B4" s="36">
        <v>5980</v>
      </c>
      <c r="C4" s="16" t="s">
        <v>80</v>
      </c>
      <c r="D4" s="91" t="s">
        <v>119</v>
      </c>
      <c r="E4" s="92"/>
      <c r="F4" s="92"/>
      <c r="G4" s="92"/>
      <c r="H4" s="92"/>
      <c r="I4" s="92"/>
    </row>
    <row r="5" spans="1:9" ht="15" customHeight="1" x14ac:dyDescent="0.3">
      <c r="A5" s="56" t="s">
        <v>120</v>
      </c>
      <c r="B5" s="57">
        <f>'CVP Inputs'!B30</f>
        <v>469000</v>
      </c>
      <c r="C5" s="16" t="s">
        <v>44</v>
      </c>
    </row>
    <row r="6" spans="1:9" ht="15" customHeight="1" x14ac:dyDescent="0.3">
      <c r="A6" s="56" t="s">
        <v>121</v>
      </c>
      <c r="B6" s="58">
        <f>'CVP Inputs'!B12</f>
        <v>54.5</v>
      </c>
      <c r="C6" s="16" t="s">
        <v>122</v>
      </c>
    </row>
    <row r="7" spans="1:9" ht="15" customHeight="1" x14ac:dyDescent="0.3">
      <c r="A7" s="9" t="s">
        <v>123</v>
      </c>
      <c r="B7" s="59">
        <f>IFERROR('CVP Inputs'!B30/B4,0)</f>
        <v>78.42809364548495</v>
      </c>
      <c r="C7" s="19" t="s">
        <v>122</v>
      </c>
      <c r="D7" s="89" t="s">
        <v>124</v>
      </c>
      <c r="E7" s="90"/>
      <c r="F7" s="90"/>
      <c r="G7" s="90"/>
      <c r="H7" s="90"/>
      <c r="I7" s="90"/>
    </row>
    <row r="8" spans="1:9" ht="15" customHeight="1" x14ac:dyDescent="0.3">
      <c r="A8" s="9" t="s">
        <v>125</v>
      </c>
      <c r="B8" s="59">
        <f>B7+'CVP Inputs'!B12</f>
        <v>132.92809364548495</v>
      </c>
      <c r="C8" s="19" t="s">
        <v>122</v>
      </c>
      <c r="D8" s="89" t="s">
        <v>126</v>
      </c>
      <c r="E8" s="90"/>
      <c r="F8" s="90"/>
      <c r="G8" s="90"/>
      <c r="H8" s="90"/>
      <c r="I8" s="90"/>
    </row>
    <row r="9" spans="1:9" ht="15" customHeight="1" x14ac:dyDescent="0.3">
      <c r="A9" s="9" t="s">
        <v>127</v>
      </c>
      <c r="B9" s="59">
        <f>IFERROR(B8*(1+'CVP Inputs'!B6)/'CVP Inputs'!B5,0)</f>
        <v>1045.7010033444815</v>
      </c>
      <c r="C9" s="19" t="s">
        <v>122</v>
      </c>
      <c r="D9" s="89" t="s">
        <v>128</v>
      </c>
      <c r="E9" s="90"/>
      <c r="F9" s="90"/>
      <c r="G9" s="90"/>
      <c r="H9" s="90"/>
      <c r="I9" s="90"/>
    </row>
    <row r="11" spans="1:9" ht="18" customHeight="1" x14ac:dyDescent="0.3">
      <c r="A11" s="97" t="s">
        <v>129</v>
      </c>
      <c r="B11" s="97"/>
      <c r="C11" s="97"/>
      <c r="D11" s="97"/>
      <c r="E11" s="97"/>
      <c r="F11" s="97"/>
      <c r="G11" s="97"/>
      <c r="H11" s="97"/>
      <c r="I11" s="97"/>
    </row>
    <row r="12" spans="1:9" ht="18.75" customHeight="1" x14ac:dyDescent="0.3">
      <c r="A12" s="56" t="s">
        <v>177</v>
      </c>
      <c r="B12" s="27">
        <v>100</v>
      </c>
      <c r="C12" s="16" t="s">
        <v>24</v>
      </c>
      <c r="D12" s="91" t="s">
        <v>130</v>
      </c>
      <c r="E12" s="92"/>
      <c r="F12" s="92"/>
      <c r="G12" s="92"/>
      <c r="H12" s="92"/>
      <c r="I12" s="92"/>
    </row>
    <row r="13" spans="1:9" ht="15" customHeight="1" x14ac:dyDescent="0.3">
      <c r="A13" s="9" t="s">
        <v>131</v>
      </c>
      <c r="B13" s="60">
        <f>IFERROR(('CVP Inputs'!B30+B12)/'CVP Inputs'!B14,0)</f>
        <v>-13239.368572111936</v>
      </c>
      <c r="C13" s="19" t="s">
        <v>132</v>
      </c>
      <c r="D13" s="89" t="s">
        <v>133</v>
      </c>
      <c r="E13" s="90"/>
      <c r="F13" s="90"/>
      <c r="G13" s="90"/>
      <c r="H13" s="90"/>
      <c r="I13" s="90"/>
    </row>
    <row r="14" spans="1:9" ht="27.75" customHeight="1" x14ac:dyDescent="0.3">
      <c r="A14" s="9" t="s">
        <v>134</v>
      </c>
      <c r="B14" s="61">
        <f>IFERROR(B13/30,0)</f>
        <v>-441.31228573706454</v>
      </c>
      <c r="C14" s="19" t="s">
        <v>81</v>
      </c>
      <c r="D14" s="89" t="s">
        <v>135</v>
      </c>
      <c r="E14" s="90"/>
      <c r="F14" s="90"/>
      <c r="G14" s="90"/>
      <c r="H14" s="90"/>
      <c r="I14" s="90"/>
    </row>
    <row r="15" spans="1:9" ht="15" customHeight="1" x14ac:dyDescent="0.3">
      <c r="A15" s="9" t="s">
        <v>136</v>
      </c>
      <c r="B15" s="62">
        <f>B13*'CVP Inputs'!B7</f>
        <v>-252445.58718010047</v>
      </c>
      <c r="C15" s="19" t="s">
        <v>24</v>
      </c>
      <c r="D15" s="89" t="s">
        <v>137</v>
      </c>
      <c r="E15" s="90"/>
      <c r="F15" s="90"/>
      <c r="G15" s="90"/>
      <c r="H15" s="90"/>
      <c r="I15" s="90"/>
    </row>
    <row r="17" spans="1:7" ht="18" customHeight="1" x14ac:dyDescent="0.3">
      <c r="A17" s="93" t="s">
        <v>138</v>
      </c>
      <c r="B17" s="93"/>
      <c r="C17" s="93"/>
      <c r="D17" s="93"/>
      <c r="E17" s="93"/>
      <c r="F17" s="93"/>
      <c r="G17" s="93"/>
    </row>
    <row r="18" spans="1:7" ht="18" customHeight="1" x14ac:dyDescent="0.3">
      <c r="A18" s="63" t="s">
        <v>139</v>
      </c>
      <c r="B18" s="64">
        <v>4680</v>
      </c>
      <c r="C18" s="64">
        <v>5980</v>
      </c>
      <c r="D18" s="64">
        <v>8000</v>
      </c>
      <c r="E18" s="64">
        <v>10000</v>
      </c>
      <c r="F18" s="64">
        <v>12000</v>
      </c>
      <c r="G18" s="64">
        <v>15000</v>
      </c>
    </row>
    <row r="19" spans="1:7" ht="15" customHeight="1" x14ac:dyDescent="0.3">
      <c r="A19" s="65" t="s">
        <v>140</v>
      </c>
      <c r="B19" s="66">
        <f>B18*(150*'CVP Inputs'!B5/(1+'CVP Inputs'!B6)-45-'CVP Inputs'!B10-'CVP Inputs'!B11)-'CVP Inputs'!B30</f>
        <v>-611422.71186440671</v>
      </c>
      <c r="C19" s="66">
        <f>C18*(150*'CVP Inputs'!B5/(1+'CVP Inputs'!B6)-45-'CVP Inputs'!B10-'CVP Inputs'!B11)-'CVP Inputs'!B30</f>
        <v>-650984.57627118647</v>
      </c>
      <c r="D19" s="66">
        <f>D18*(150*'CVP Inputs'!B5/(1+'CVP Inputs'!B6)-45-'CVP Inputs'!B10-'CVP Inputs'!B11)-'CVP Inputs'!B30</f>
        <v>-712457.62711864407</v>
      </c>
      <c r="E19" s="66">
        <f>E18*(150*'CVP Inputs'!B5/(1+'CVP Inputs'!B6)-45-'CVP Inputs'!B10-'CVP Inputs'!B11)-'CVP Inputs'!B30</f>
        <v>-773322.03389830515</v>
      </c>
      <c r="F19" s="66">
        <f>F18*(150*'CVP Inputs'!B5/(1+'CVP Inputs'!B6)-45-'CVP Inputs'!B10-'CVP Inputs'!B11)-'CVP Inputs'!B30</f>
        <v>-834186.44067796611</v>
      </c>
      <c r="G19" s="66">
        <f>15000*(150*'CVP Inputs'!B5/(1+'CVP Inputs'!B6)-45-'CVP Inputs'!B10-'CVP Inputs'!B11)-'CVP Inputs'!B30</f>
        <v>-925483.05084745761</v>
      </c>
    </row>
    <row r="20" spans="1:7" ht="15" customHeight="1" x14ac:dyDescent="0.3">
      <c r="A20" s="65" t="s">
        <v>141</v>
      </c>
      <c r="B20" s="66">
        <f>4680*(150*'CVP Inputs'!B5/(1+'CVP Inputs'!B6)-48-'CVP Inputs'!B10-'CVP Inputs'!B11)-'CVP Inputs'!B30</f>
        <v>-625462.71186440671</v>
      </c>
      <c r="C20" s="66">
        <f>5980*(150*'CVP Inputs'!B5/(1+'CVP Inputs'!B6)-48-'CVP Inputs'!B10-'CVP Inputs'!B11)-'CVP Inputs'!B30</f>
        <v>-668924.57627118635</v>
      </c>
      <c r="D20" s="66">
        <f>8000*(150*'CVP Inputs'!B5/(1+'CVP Inputs'!B6)-48-'CVP Inputs'!B10-'CVP Inputs'!B11)-'CVP Inputs'!B30</f>
        <v>-736457.62711864407</v>
      </c>
      <c r="E20" s="66">
        <f>10000*(150*'CVP Inputs'!B5/(1+'CVP Inputs'!B6)-48-'CVP Inputs'!B10-'CVP Inputs'!B11)-'CVP Inputs'!B30</f>
        <v>-803322.03389830503</v>
      </c>
      <c r="F20" s="66">
        <f>12000*(150*'CVP Inputs'!B5/(1+'CVP Inputs'!B6)-48-'CVP Inputs'!B10-'CVP Inputs'!B11)-'CVP Inputs'!B30</f>
        <v>-870186.44067796599</v>
      </c>
      <c r="G20" s="66">
        <f>15000*(150*'CVP Inputs'!B5/(1+'CVP Inputs'!B6)-48-'CVP Inputs'!B10-'CVP Inputs'!B11)-'CVP Inputs'!B30</f>
        <v>-970483.05084745761</v>
      </c>
    </row>
    <row r="21" spans="1:7" ht="15" customHeight="1" x14ac:dyDescent="0.3">
      <c r="A21" s="65" t="s">
        <v>142</v>
      </c>
      <c r="B21" s="67">
        <f>4680*(150*'CVP Inputs'!B5/(1+'CVP Inputs'!B6)-50-'CVP Inputs'!B10-'CVP Inputs'!B11)-'CVP Inputs'!B30</f>
        <v>-634822.71186440671</v>
      </c>
      <c r="C21" s="67">
        <f>5980*(150*'CVP Inputs'!B5/(1+'CVP Inputs'!B6)-50-'CVP Inputs'!B10-'CVP Inputs'!B11)-'CVP Inputs'!B30</f>
        <v>-680884.57627118635</v>
      </c>
      <c r="D21" s="67">
        <f>8000*(150*'CVP Inputs'!B5/(1+'CVP Inputs'!B6)-50-'CVP Inputs'!B10-'CVP Inputs'!B11)-'CVP Inputs'!B30</f>
        <v>-752457.62711864407</v>
      </c>
      <c r="E21" s="67">
        <f>10000*(150*'CVP Inputs'!B5/(1+'CVP Inputs'!B6)-50-'CVP Inputs'!B10-'CVP Inputs'!B11)-'CVP Inputs'!B30</f>
        <v>-823322.03389830503</v>
      </c>
      <c r="F21" s="67">
        <f>12000*(150*'CVP Inputs'!B5/(1+'CVP Inputs'!B6)-50-'CVP Inputs'!B10-'CVP Inputs'!B11)-'CVP Inputs'!B30</f>
        <v>-894186.44067796599</v>
      </c>
      <c r="G21" s="67">
        <f>15000*(150*'CVP Inputs'!B5/(1+'CVP Inputs'!B6)-50-'CVP Inputs'!B10-'CVP Inputs'!B11)-'CVP Inputs'!B30</f>
        <v>-1000483.0508474576</v>
      </c>
    </row>
    <row r="22" spans="1:7" ht="15" customHeight="1" x14ac:dyDescent="0.3">
      <c r="A22" s="65" t="s">
        <v>143</v>
      </c>
      <c r="B22" s="68">
        <f>4680*(150*'CVP Inputs'!B5/(1+'CVP Inputs'!B6)-52-'CVP Inputs'!B10-'CVP Inputs'!B11)-'CVP Inputs'!B30</f>
        <v>-644182.71186440671</v>
      </c>
      <c r="C22" s="68">
        <f>5980*(150*'CVP Inputs'!B5/(1+'CVP Inputs'!B6)-52-'CVP Inputs'!B10-'CVP Inputs'!B11)-'CVP Inputs'!B30</f>
        <v>-692844.57627118635</v>
      </c>
      <c r="D22" s="68">
        <f>8000*(150*'CVP Inputs'!B5/(1+'CVP Inputs'!B6)-52-'CVP Inputs'!B10-'CVP Inputs'!B11)-'CVP Inputs'!B30</f>
        <v>-768457.62711864407</v>
      </c>
      <c r="E22" s="68">
        <f>10000*(150*'CVP Inputs'!B5/(1+'CVP Inputs'!B6)-52-'CVP Inputs'!B10-'CVP Inputs'!B11)-'CVP Inputs'!B30</f>
        <v>-843322.03389830503</v>
      </c>
      <c r="F22" s="68">
        <f>12000*(150*'CVP Inputs'!B5/(1+'CVP Inputs'!B6)-52-'CVP Inputs'!B10-'CVP Inputs'!B11)-'CVP Inputs'!B30</f>
        <v>-918186.44067796599</v>
      </c>
      <c r="G22" s="68">
        <f>15000*(150*'CVP Inputs'!B5/(1+'CVP Inputs'!B6)-52-'CVP Inputs'!B10-'CVP Inputs'!B11)-'CVP Inputs'!B30</f>
        <v>-1030483.0508474576</v>
      </c>
    </row>
    <row r="23" spans="1:7" ht="15" customHeight="1" x14ac:dyDescent="0.3">
      <c r="A23" s="65" t="s">
        <v>144</v>
      </c>
      <c r="B23" s="68">
        <f>4680*(150*'CVP Inputs'!B5/(1+'CVP Inputs'!B6)-55-'CVP Inputs'!B10-'CVP Inputs'!B11)-'CVP Inputs'!B30</f>
        <v>-658222.71186440671</v>
      </c>
      <c r="C23" s="68">
        <f>5980*(150*'CVP Inputs'!B5/(1+'CVP Inputs'!B6)-55-'CVP Inputs'!B10-'CVP Inputs'!B11)-'CVP Inputs'!B30</f>
        <v>-710784.57627118635</v>
      </c>
      <c r="D23" s="68">
        <f>8000*(150*'CVP Inputs'!B5/(1+'CVP Inputs'!B6)-55-'CVP Inputs'!B10-'CVP Inputs'!B11)-'CVP Inputs'!B30</f>
        <v>-792457.62711864407</v>
      </c>
      <c r="E23" s="68">
        <f>10000*(150*'CVP Inputs'!B5/(1+'CVP Inputs'!B6)-55-'CVP Inputs'!B10-'CVP Inputs'!B11)-'CVP Inputs'!B30</f>
        <v>-873322.03389830503</v>
      </c>
      <c r="F23" s="68">
        <f>12000*(150*'CVP Inputs'!B5/(1+'CVP Inputs'!B6)-55-'CVP Inputs'!B10-'CVP Inputs'!B11)-'CVP Inputs'!B30</f>
        <v>-954186.44067796599</v>
      </c>
      <c r="G23" s="68">
        <f>15000*(150*'CVP Inputs'!B5/(1+'CVP Inputs'!B6)-55-'CVP Inputs'!B10-'CVP Inputs'!B11)-'CVP Inputs'!B30</f>
        <v>-1075483.0508474577</v>
      </c>
    </row>
    <row r="25" spans="1:7" ht="13.5" customHeight="1" x14ac:dyDescent="0.3">
      <c r="A25" s="69" t="s">
        <v>20</v>
      </c>
      <c r="B25" s="69"/>
      <c r="C25" s="69"/>
      <c r="E25" s="69"/>
      <c r="F25" s="69"/>
      <c r="G25" s="69" t="s">
        <v>21</v>
      </c>
    </row>
  </sheetData>
  <mergeCells count="13">
    <mergeCell ref="A11:I11"/>
    <mergeCell ref="D4:I4"/>
    <mergeCell ref="A2:I2"/>
    <mergeCell ref="D9:I9"/>
    <mergeCell ref="D8:I8"/>
    <mergeCell ref="D7:I7"/>
    <mergeCell ref="A1:I1"/>
    <mergeCell ref="A3:I3"/>
    <mergeCell ref="D15:I15"/>
    <mergeCell ref="D14:I14"/>
    <mergeCell ref="D13:I13"/>
    <mergeCell ref="D12:I12"/>
    <mergeCell ref="A17:G17"/>
  </mergeCells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 Dashboard</vt:lpstr>
      <vt:lpstr>CVP Inputs</vt:lpstr>
      <vt:lpstr>Break-Even Analysis</vt:lpstr>
      <vt:lpstr>CVP Table</vt:lpstr>
      <vt:lpstr>Scenario Analysis</vt:lpstr>
      <vt:lpstr>Goal Seek Tables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AKM</dc:creator>
  <dc:description/>
  <cp:lastModifiedBy>Anjani Kumar Mishra</cp:lastModifiedBy>
  <cp:revision>3</cp:revision>
  <dcterms:created xsi:type="dcterms:W3CDTF">2026-04-10T18:04:15Z</dcterms:created>
  <dcterms:modified xsi:type="dcterms:W3CDTF">2026-04-14T08:34:22Z</dcterms:modified>
  <dc:language>en-US</dc:language>
</cp:coreProperties>
</file>