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GitHub\inakm.github.io\myprojects\GatiGo\BvsA\"/>
    </mc:Choice>
  </mc:AlternateContent>
  <bookViews>
    <workbookView xWindow="0" yWindow="450" windowWidth="28800" windowHeight="13860" tabRatio="500"/>
  </bookViews>
  <sheets>
    <sheet name="Budget Assumptions" sheetId="1" r:id="rId1"/>
    <sheet name="Budget P&amp;L - Q1 FY2026" sheetId="2" r:id="rId2"/>
    <sheet name="AvsB Analysis" sheetId="3" r:id="rId3"/>
  </sheets>
  <calcPr calcId="152511" iterateDelta="1E-4"/>
</workbook>
</file>

<file path=xl/calcChain.xml><?xml version="1.0" encoding="utf-8"?>
<calcChain xmlns="http://schemas.openxmlformats.org/spreadsheetml/2006/main">
  <c r="F37" i="3" l="1"/>
  <c r="B37" i="3"/>
  <c r="F33" i="3"/>
  <c r="F31" i="3"/>
  <c r="B33" i="3"/>
  <c r="B31" i="3"/>
  <c r="F18" i="3"/>
  <c r="B18" i="3"/>
  <c r="F11" i="3"/>
  <c r="B11" i="3"/>
  <c r="D7" i="3"/>
  <c r="D45" i="2"/>
  <c r="C45" i="2"/>
  <c r="B45" i="2"/>
  <c r="E45" i="2" s="1"/>
  <c r="D40" i="2"/>
  <c r="C40" i="2"/>
  <c r="B40" i="2"/>
  <c r="D39" i="2"/>
  <c r="C39" i="2"/>
  <c r="C41" i="2" s="1"/>
  <c r="B39" i="2"/>
  <c r="B41" i="2" s="1"/>
  <c r="C35" i="3" s="1"/>
  <c r="D35" i="3" s="1"/>
  <c r="D33" i="2"/>
  <c r="E33" i="2" s="1"/>
  <c r="G30" i="3" s="1"/>
  <c r="H30" i="3" s="1"/>
  <c r="C33" i="2"/>
  <c r="B33" i="2"/>
  <c r="C30" i="3" s="1"/>
  <c r="D30" i="3" s="1"/>
  <c r="D32" i="2"/>
  <c r="C32" i="2"/>
  <c r="B32" i="2"/>
  <c r="C29" i="3" s="1"/>
  <c r="D29" i="3" s="1"/>
  <c r="D31" i="2"/>
  <c r="C31" i="2"/>
  <c r="B31" i="2"/>
  <c r="C28" i="3" s="1"/>
  <c r="D28" i="3" s="1"/>
  <c r="E28" i="3" s="1"/>
  <c r="D30" i="2"/>
  <c r="C30" i="2"/>
  <c r="B30" i="2"/>
  <c r="D29" i="2"/>
  <c r="C29" i="2"/>
  <c r="B29" i="2"/>
  <c r="E29" i="2" s="1"/>
  <c r="G26" i="3" s="1"/>
  <c r="H26" i="3" s="1"/>
  <c r="D28" i="2"/>
  <c r="E28" i="2" s="1"/>
  <c r="G25" i="3" s="1"/>
  <c r="C28" i="2"/>
  <c r="B28" i="2"/>
  <c r="C25" i="3" s="1"/>
  <c r="D25" i="3" s="1"/>
  <c r="D27" i="2"/>
  <c r="C27" i="2"/>
  <c r="B27" i="2"/>
  <c r="C24" i="3" s="1"/>
  <c r="D24" i="3" s="1"/>
  <c r="D26" i="2"/>
  <c r="C26" i="2"/>
  <c r="B26" i="2"/>
  <c r="C23" i="3" s="1"/>
  <c r="D23" i="3" s="1"/>
  <c r="E23" i="3" s="1"/>
  <c r="D25" i="2"/>
  <c r="E25" i="2" s="1"/>
  <c r="G22" i="3" s="1"/>
  <c r="H22" i="3" s="1"/>
  <c r="C25" i="2"/>
  <c r="B25" i="2"/>
  <c r="C22" i="3" s="1"/>
  <c r="D22" i="3" s="1"/>
  <c r="D24" i="2"/>
  <c r="C24" i="2"/>
  <c r="B24" i="2"/>
  <c r="C21" i="3" s="1"/>
  <c r="D21" i="3" s="1"/>
  <c r="D23" i="2"/>
  <c r="D34" i="2" s="1"/>
  <c r="D55" i="2" s="1"/>
  <c r="C23" i="2"/>
  <c r="B23" i="2"/>
  <c r="C20" i="3" s="1"/>
  <c r="D20" i="3" s="1"/>
  <c r="D17" i="2"/>
  <c r="C17" i="2"/>
  <c r="B17" i="2"/>
  <c r="C15" i="3" s="1"/>
  <c r="D15" i="3" s="1"/>
  <c r="D11" i="2"/>
  <c r="C11" i="2"/>
  <c r="B11" i="2"/>
  <c r="E10" i="2"/>
  <c r="G9" i="3" s="1"/>
  <c r="H9" i="3" s="1"/>
  <c r="D10" i="2"/>
  <c r="C10" i="2"/>
  <c r="B10" i="2"/>
  <c r="C9" i="3" s="1"/>
  <c r="D9" i="3" s="1"/>
  <c r="D9" i="2"/>
  <c r="C9" i="2"/>
  <c r="B9" i="2"/>
  <c r="E9" i="2" s="1"/>
  <c r="G8" i="3" s="1"/>
  <c r="H8" i="3" s="1"/>
  <c r="I8" i="3" s="1"/>
  <c r="D8" i="2"/>
  <c r="E8" i="2" s="1"/>
  <c r="G7" i="3" s="1"/>
  <c r="H7" i="3" s="1"/>
  <c r="C8" i="2"/>
  <c r="B8" i="2"/>
  <c r="C7" i="3" s="1"/>
  <c r="B6" i="2"/>
  <c r="B7" i="2" s="1"/>
  <c r="D5" i="2"/>
  <c r="D15" i="2" s="1"/>
  <c r="C5" i="2"/>
  <c r="B5" i="2"/>
  <c r="H25" i="3" l="1"/>
  <c r="I25" i="3" s="1"/>
  <c r="D6" i="2"/>
  <c r="D7" i="2" s="1"/>
  <c r="D12" i="2" s="1"/>
  <c r="H25" i="2" s="1"/>
  <c r="D41" i="2"/>
  <c r="E17" i="2"/>
  <c r="G15" i="3" s="1"/>
  <c r="H15" i="3" s="1"/>
  <c r="I15" i="3" s="1"/>
  <c r="E27" i="2"/>
  <c r="G24" i="3" s="1"/>
  <c r="H24" i="3" s="1"/>
  <c r="I24" i="3" s="1"/>
  <c r="E30" i="2"/>
  <c r="G27" i="3" s="1"/>
  <c r="H27" i="3" s="1"/>
  <c r="I27" i="3" s="1"/>
  <c r="E39" i="2"/>
  <c r="E40" i="2"/>
  <c r="E11" i="2"/>
  <c r="G10" i="3" s="1"/>
  <c r="H10" i="3" s="1"/>
  <c r="I10" i="3" s="1"/>
  <c r="C34" i="2"/>
  <c r="C55" i="2" s="1"/>
  <c r="E26" i="2"/>
  <c r="G23" i="3" s="1"/>
  <c r="H23" i="3" s="1"/>
  <c r="E35" i="3"/>
  <c r="E29" i="3"/>
  <c r="E25" i="3"/>
  <c r="E21" i="3"/>
  <c r="E15" i="3"/>
  <c r="I9" i="3"/>
  <c r="E9" i="3"/>
  <c r="E20" i="3"/>
  <c r="E24" i="3"/>
  <c r="B12" i="2"/>
  <c r="B53" i="2" s="1"/>
  <c r="C6" i="3"/>
  <c r="H41" i="2"/>
  <c r="H30" i="2"/>
  <c r="H31" i="2"/>
  <c r="H23" i="2"/>
  <c r="H32" i="2"/>
  <c r="H24" i="2"/>
  <c r="H33" i="2"/>
  <c r="H12" i="2"/>
  <c r="H34" i="2"/>
  <c r="H26" i="2"/>
  <c r="H15" i="2"/>
  <c r="H27" i="2"/>
  <c r="H17" i="2"/>
  <c r="H40" i="2"/>
  <c r="H39" i="2"/>
  <c r="H28" i="2"/>
  <c r="I23" i="3"/>
  <c r="E7" i="3"/>
  <c r="E22" i="3"/>
  <c r="E30" i="3"/>
  <c r="I7" i="3"/>
  <c r="I22" i="3"/>
  <c r="I26" i="3"/>
  <c r="I30" i="3"/>
  <c r="C8" i="3"/>
  <c r="D8" i="3" s="1"/>
  <c r="E8" i="3" s="1"/>
  <c r="C27" i="3"/>
  <c r="E24" i="2"/>
  <c r="G21" i="3" s="1"/>
  <c r="E32" i="2"/>
  <c r="G29" i="3" s="1"/>
  <c r="C26" i="3"/>
  <c r="E23" i="2"/>
  <c r="G20" i="3" s="1"/>
  <c r="E31" i="2"/>
  <c r="G28" i="3" s="1"/>
  <c r="B16" i="2"/>
  <c r="E41" i="2"/>
  <c r="G35" i="3" s="1"/>
  <c r="H35" i="3" s="1"/>
  <c r="I35" i="3" s="1"/>
  <c r="C10" i="3"/>
  <c r="E5" i="2"/>
  <c r="B15" i="2"/>
  <c r="C16" i="2"/>
  <c r="B34" i="2"/>
  <c r="D53" i="2"/>
  <c r="C15" i="2"/>
  <c r="C18" i="2" s="1"/>
  <c r="D16" i="2"/>
  <c r="H16" i="2" s="1"/>
  <c r="C6" i="2"/>
  <c r="D27" i="3" l="1"/>
  <c r="E27" i="3" s="1"/>
  <c r="H28" i="3"/>
  <c r="I28" i="3" s="1"/>
  <c r="H20" i="3"/>
  <c r="I20" i="3" s="1"/>
  <c r="D26" i="3"/>
  <c r="E26" i="3" s="1"/>
  <c r="H29" i="3"/>
  <c r="I29" i="3" s="1"/>
  <c r="D10" i="3"/>
  <c r="E10" i="3" s="1"/>
  <c r="H21" i="3"/>
  <c r="I21" i="3" s="1"/>
  <c r="H29" i="2"/>
  <c r="E6" i="3"/>
  <c r="D6" i="3"/>
  <c r="C7" i="2"/>
  <c r="E6" i="2"/>
  <c r="B18" i="2"/>
  <c r="B20" i="2" s="1"/>
  <c r="C13" i="3"/>
  <c r="E15" i="2"/>
  <c r="G13" i="3" s="1"/>
  <c r="E16" i="2"/>
  <c r="G14" i="3" s="1"/>
  <c r="C14" i="3"/>
  <c r="D18" i="2"/>
  <c r="B55" i="2"/>
  <c r="C31" i="3"/>
  <c r="E34" i="2"/>
  <c r="G31" i="3" s="1"/>
  <c r="F39" i="2"/>
  <c r="F28" i="2"/>
  <c r="F17" i="2"/>
  <c r="F40" i="2"/>
  <c r="F29" i="2"/>
  <c r="F34" i="2"/>
  <c r="F41" i="2"/>
  <c r="F30" i="2"/>
  <c r="F15" i="2"/>
  <c r="F31" i="2"/>
  <c r="F23" i="2"/>
  <c r="F32" i="2"/>
  <c r="F24" i="2"/>
  <c r="C11" i="3"/>
  <c r="F33" i="2"/>
  <c r="F25" i="2"/>
  <c r="F12" i="2"/>
  <c r="F26" i="2"/>
  <c r="F27" i="2"/>
  <c r="F16" i="2"/>
  <c r="B50" i="2" l="1"/>
  <c r="F20" i="2"/>
  <c r="H14" i="3"/>
  <c r="I14" i="3" s="1"/>
  <c r="D13" i="3"/>
  <c r="E13" i="3" s="1"/>
  <c r="D11" i="3"/>
  <c r="E11" i="3" s="1"/>
  <c r="H13" i="3"/>
  <c r="I13" i="3" s="1"/>
  <c r="H31" i="3"/>
  <c r="I31" i="3" s="1"/>
  <c r="D31" i="3"/>
  <c r="E31" i="3" s="1"/>
  <c r="D14" i="3"/>
  <c r="E14" i="3" s="1"/>
  <c r="D54" i="2"/>
  <c r="D20" i="2"/>
  <c r="H18" i="2"/>
  <c r="B36" i="2"/>
  <c r="C18" i="3"/>
  <c r="E18" i="2"/>
  <c r="G16" i="3" s="1"/>
  <c r="C16" i="3"/>
  <c r="B54" i="2"/>
  <c r="F18" i="2"/>
  <c r="C12" i="2"/>
  <c r="E7" i="2"/>
  <c r="G6" i="3" s="1"/>
  <c r="D16" i="3" l="1"/>
  <c r="E16" i="3" s="1"/>
  <c r="D18" i="3"/>
  <c r="E18" i="3" s="1"/>
  <c r="H16" i="3"/>
  <c r="I16" i="3" s="1"/>
  <c r="H6" i="3"/>
  <c r="I6" i="3" s="1"/>
  <c r="G40" i="2"/>
  <c r="G29" i="2"/>
  <c r="G18" i="2"/>
  <c r="G41" i="2"/>
  <c r="G30" i="2"/>
  <c r="G20" i="2"/>
  <c r="G31" i="2"/>
  <c r="G23" i="2"/>
  <c r="G27" i="2"/>
  <c r="G32" i="2"/>
  <c r="G24" i="2"/>
  <c r="G16" i="2"/>
  <c r="C50" i="2"/>
  <c r="G33" i="2"/>
  <c r="G25" i="2"/>
  <c r="G12" i="2"/>
  <c r="G34" i="2"/>
  <c r="G26" i="2"/>
  <c r="C20" i="2"/>
  <c r="G15" i="2"/>
  <c r="G39" i="2"/>
  <c r="G28" i="2"/>
  <c r="G17" i="2"/>
  <c r="C54" i="2"/>
  <c r="C53" i="2"/>
  <c r="E12" i="2"/>
  <c r="G11" i="3" s="1"/>
  <c r="C33" i="3"/>
  <c r="B43" i="2"/>
  <c r="B51" i="2"/>
  <c r="F36" i="2"/>
  <c r="D36" i="2"/>
  <c r="H20" i="2"/>
  <c r="D50" i="2"/>
  <c r="D33" i="3" l="1"/>
  <c r="E33" i="3" s="1"/>
  <c r="H11" i="3"/>
  <c r="I11" i="3" s="1"/>
  <c r="C36" i="2"/>
  <c r="E20" i="2"/>
  <c r="G18" i="3" s="1"/>
  <c r="H18" i="3" s="1"/>
  <c r="I18" i="3" s="1"/>
  <c r="D43" i="2"/>
  <c r="H36" i="2"/>
  <c r="D51" i="2"/>
  <c r="B47" i="2"/>
  <c r="F43" i="2"/>
  <c r="C37" i="3" l="1"/>
  <c r="F47" i="2"/>
  <c r="B52" i="2"/>
  <c r="D47" i="2"/>
  <c r="H43" i="2"/>
  <c r="C43" i="2"/>
  <c r="E36" i="2"/>
  <c r="G33" i="3" s="1"/>
  <c r="G36" i="2"/>
  <c r="C51" i="2"/>
  <c r="I33" i="3" l="1"/>
  <c r="H33" i="3"/>
  <c r="D37" i="3"/>
  <c r="E37" i="3" s="1"/>
  <c r="C47" i="2"/>
  <c r="G43" i="2"/>
  <c r="E43" i="2"/>
  <c r="D52" i="2"/>
  <c r="H47" i="2"/>
  <c r="C52" i="2" l="1"/>
  <c r="G47" i="2"/>
  <c r="E47" i="2"/>
  <c r="G37" i="3" s="1"/>
  <c r="H37" i="3" l="1"/>
  <c r="I37" i="3" s="1"/>
</calcChain>
</file>

<file path=xl/sharedStrings.xml><?xml version="1.0" encoding="utf-8"?>
<sst xmlns="http://schemas.openxmlformats.org/spreadsheetml/2006/main" count="272" uniqueCount="190">
  <si>
    <t>GatiGo — Q1 FY2026 BUDGET: Assumption Drivers</t>
  </si>
  <si>
    <t>Driver / Assumption</t>
  </si>
  <si>
    <t>January</t>
  </si>
  <si>
    <t>February</t>
  </si>
  <si>
    <t>March</t>
  </si>
  <si>
    <t>Unit</t>
  </si>
  <si>
    <t>Budget Rationale / Note</t>
  </si>
  <si>
    <t>Source / Basis</t>
  </si>
  <si>
    <t>A. Volume &amp; Ride Metrics</t>
  </si>
  <si>
    <t>Working Days in Month</t>
  </si>
  <si>
    <t>days</t>
  </si>
  <si>
    <t>Standard calendar</t>
  </si>
  <si>
    <t>GatiGo ops calendar Jan–Mar 2026</t>
  </si>
  <si>
    <t>Average Daily Rides</t>
  </si>
  <si>
    <t>#</t>
  </si>
  <si>
    <t>Budgeted higher: strong Jan launch assumed; ~15% above actual ramp</t>
  </si>
  <si>
    <t>GatiGo pre-Q1 board projection</t>
  </si>
  <si>
    <t>Average Ride Fare (₹)</t>
  </si>
  <si>
    <t>₹</t>
  </si>
  <si>
    <t>Flat fare budgeted; no surge premium modelled</t>
  </si>
  <si>
    <t>GatiGo pricing committee, Dec 2025</t>
  </si>
  <si>
    <t>Commission Rate on Rides</t>
  </si>
  <si>
    <t>%</t>
  </si>
  <si>
    <t>15% standard rate</t>
  </si>
  <si>
    <t>GatiGo business model</t>
  </si>
  <si>
    <t>Corporate Clients</t>
  </si>
  <si>
    <t>Budgeted 5 by Jan; +1 per month; more aggressive than actual</t>
  </si>
  <si>
    <t>GatiGo sales forecast, Dec 2025</t>
  </si>
  <si>
    <t>Monthly Corporate Contract (₹)</t>
  </si>
  <si>
    <t>Flat ₹24K budgeted; no upsell modelled</t>
  </si>
  <si>
    <t>GatiGo BD team estimate</t>
  </si>
  <si>
    <t>Premium Subscribers</t>
  </si>
  <si>
    <t>Budgeted higher sub growth; viral referral effect assumed</t>
  </si>
  <si>
    <t>GatiGo product team, Dec 2025</t>
  </si>
  <si>
    <t>Premium Sub Price (₹)</t>
  </si>
  <si>
    <t>Flat rate</t>
  </si>
  <si>
    <t>GatiGo pricing policy</t>
  </si>
  <si>
    <t>B. Other Revenue Drivers</t>
  </si>
  <si>
    <t>Advertising Revenue / Month (₹)</t>
  </si>
  <si>
    <t>Budgeted higher DAU → more ad impressions</t>
  </si>
  <si>
    <t>GatiGo marketing team, Dec 2025</t>
  </si>
  <si>
    <t>Intercity Rides / Month</t>
  </si>
  <si>
    <t>Intercity budgeted to launch mid-Feb at higher volume</t>
  </si>
  <si>
    <t>GatiGo product roadmap, Dec 2025</t>
  </si>
  <si>
    <t>Intercity Avg Fare (₹)</t>
  </si>
  <si>
    <t>GatiGo intercity pricing</t>
  </si>
  <si>
    <t>Intercity Commission Rate</t>
  </si>
  <si>
    <t>12% intercity rate</t>
  </si>
  <si>
    <t>C. Variable Cost Drivers</t>
  </si>
  <si>
    <t>Driver Incentive per Ride (₹)</t>
  </si>
  <si>
    <t>Flat ₹50 budgeted; no efficiency improvement modelled</t>
  </si>
  <si>
    <t>GatiGo driver contract</t>
  </si>
  <si>
    <t>Payment Gateway Fee per Ride (₹)</t>
  </si>
  <si>
    <t>Razorpay blended rate</t>
  </si>
  <si>
    <t>Razorpay pricing, Dec 2025</t>
  </si>
  <si>
    <t>Referral Bonus (₹/new user)</t>
  </si>
  <si>
    <t>Flat ₹50 budgeted; Mar reduction not anticipated</t>
  </si>
  <si>
    <t>GatiGo growth team budget</t>
  </si>
  <si>
    <t>New Users Acquired (monthly)</t>
  </si>
  <si>
    <t>More users assumed with higher ride volume</t>
  </si>
  <si>
    <t>GatiGo growth model, Dec 2025</t>
  </si>
  <si>
    <t>D. Fixed Cost Drivers  ← UNDERESTIMATED vs Actual (typical budget error)</t>
  </si>
  <si>
    <t>Salaries — Engineering (₹/mo)</t>
  </si>
  <si>
    <t>2 FTE @ ₹60K; no new hires budgeted</t>
  </si>
  <si>
    <t>GatiGo payroll budget, Dec 2025</t>
  </si>
  <si>
    <t>Salaries — Operations (₹/mo)</t>
  </si>
  <si>
    <t>2 FTE @ ₹40K</t>
  </si>
  <si>
    <t>GatiGo payroll budget</t>
  </si>
  <si>
    <t>Salaries — Sales &amp; BD (₹/mo)</t>
  </si>
  <si>
    <t>1 FTE only; mid-year hire not budgeted</t>
  </si>
  <si>
    <t>App Hosting &amp; Cloud (₹/mo)</t>
  </si>
  <si>
    <t>Flat cloud cost budgeted; scaling not modelled</t>
  </si>
  <si>
    <t>AWS estimate, Dec 2025</t>
  </si>
  <si>
    <t>Office / Co-working (₹/mo)</t>
  </si>
  <si>
    <t>Same as contract</t>
  </si>
  <si>
    <t>Lease agreement</t>
  </si>
  <si>
    <t>Marketing — Digital Ads (₹/mo)</t>
  </si>
  <si>
    <t>Lower spend budgeted; CAC assumed more efficient</t>
  </si>
  <si>
    <t>GatiGo marketing budget</t>
  </si>
  <si>
    <t>Marketing — Offline / Events (₹/mo)</t>
  </si>
  <si>
    <t>Lean offline budget; campus events underestimated</t>
  </si>
  <si>
    <t>Customer Support (₹/mo)</t>
  </si>
  <si>
    <t>Part-time; lower ticket volume assumed</t>
  </si>
  <si>
    <t>GatiGo ops budget</t>
  </si>
  <si>
    <t>Legal &amp; Compliance (₹/mo)</t>
  </si>
  <si>
    <t>Retainer unchanged</t>
  </si>
  <si>
    <t>Law firm agreement</t>
  </si>
  <si>
    <t>Insurance (₹/mo)</t>
  </si>
  <si>
    <t>Same policy</t>
  </si>
  <si>
    <t>Insurance quote, Dec 2025</t>
  </si>
  <si>
    <t>Misc. Admin (₹/mo)</t>
  </si>
  <si>
    <t>Standard misc</t>
  </si>
  <si>
    <t>Management estimate</t>
  </si>
  <si>
    <t>E. Tax &amp; Interest</t>
  </si>
  <si>
    <t>GST on Commissions (%)</t>
  </si>
  <si>
    <t>18% GST on platform fee</t>
  </si>
  <si>
    <t>GST Act India</t>
  </si>
  <si>
    <t>TDS Deducted by Corporates (%)</t>
  </si>
  <si>
    <t>10% TDS on B2B contracts</t>
  </si>
  <si>
    <t>Income Tax Act India</t>
  </si>
  <si>
    <t>Interest on Seed Loan (₹/mo)</t>
  </si>
  <si>
    <t>₹15L @ 10% p.a.</t>
  </si>
  <si>
    <t>Loan agreement, Dec 2025</t>
  </si>
  <si>
    <t>Depreciation — Devices (₹/mo)</t>
  </si>
  <si>
    <t>3-yr SLM, no new assets</t>
  </si>
  <si>
    <t>Fixed asset register</t>
  </si>
  <si>
    <t>COLOUR LEGEND</t>
  </si>
  <si>
    <t>Blue text = hardcoded input (assumption)</t>
  </si>
  <si>
    <t>Black text = formula / calculated cell</t>
  </si>
  <si>
    <t>Green text = cross-sheet link</t>
  </si>
  <si>
    <t>Yellow background = key assumption to review</t>
  </si>
  <si>
    <t>GatiGo — BUDGET Profit &amp; Loss Statement   |   Q1 FY2026 (January – March 2026)</t>
  </si>
  <si>
    <t>Line Item</t>
  </si>
  <si>
    <t>Jan Budget</t>
  </si>
  <si>
    <t>Feb Budget</t>
  </si>
  <si>
    <t>Mar Budget</t>
  </si>
  <si>
    <t>Q1 Budget</t>
  </si>
  <si>
    <t>Jan %</t>
  </si>
  <si>
    <t>Feb %</t>
  </si>
  <si>
    <t>Mar %</t>
  </si>
  <si>
    <t>REVENUE</t>
  </si>
  <si>
    <t>Total Rides (Monthly)</t>
  </si>
  <si>
    <t>Gross Ride Revenue (₹)</t>
  </si>
  <si>
    <t>Ride Commission Income (net of GST)</t>
  </si>
  <si>
    <t>Intercity Ride Revenue</t>
  </si>
  <si>
    <t>Corporate Partnership Fees (net of TDS)</t>
  </si>
  <si>
    <t>Premium Subscription Revenue</t>
  </si>
  <si>
    <t>Advertising Revenue</t>
  </si>
  <si>
    <t>TOTAL REVENUE</t>
  </si>
  <si>
    <t>COST OF REVENUE (Variable)</t>
  </si>
  <si>
    <t>Driver Incentive Payments</t>
  </si>
  <si>
    <t>Payment Gateway Fees</t>
  </si>
  <si>
    <t>Referral Bonuses</t>
  </si>
  <si>
    <t>TOTAL COST OF REVENUE</t>
  </si>
  <si>
    <t>GROSS PROFIT</t>
  </si>
  <si>
    <t>OPERATING EXPENSES (Fixed)</t>
  </si>
  <si>
    <t>Salaries — Engineering</t>
  </si>
  <si>
    <t>Salaries — Operations</t>
  </si>
  <si>
    <t>Salaries — Sales &amp; Biz Dev</t>
  </si>
  <si>
    <t>App Hosting &amp; Cloud</t>
  </si>
  <si>
    <t>Office / Co-working Space</t>
  </si>
  <si>
    <t>Marketing — Digital Advertising</t>
  </si>
  <si>
    <t>Marketing — Offline / Events</t>
  </si>
  <si>
    <t>Customer Support</t>
  </si>
  <si>
    <t>Legal &amp; Compliance</t>
  </si>
  <si>
    <t>Insurance</t>
  </si>
  <si>
    <t>Miscellaneous Admin</t>
  </si>
  <si>
    <t>TOTAL OPERATING EXPENSES</t>
  </si>
  <si>
    <t>EBITDA (Operating Profit)</t>
  </si>
  <si>
    <t>BELOW THE LINE</t>
  </si>
  <si>
    <t>Depreciation</t>
  </si>
  <si>
    <t>Interest on Seed Loan</t>
  </si>
  <si>
    <t>Total D&amp;A + Interest</t>
  </si>
  <si>
    <t>EBT — Earnings Before Tax</t>
  </si>
  <si>
    <t>Income Tax (₹0 — loss carry-forward)</t>
  </si>
  <si>
    <t>"-"</t>
  </si>
  <si>
    <t>BUDGETED NET PROFIT / (LOSS)</t>
  </si>
  <si>
    <t>BUDGETED KPI SUMMARY</t>
  </si>
  <si>
    <t>Gross Margin (%)</t>
  </si>
  <si>
    <t>Gross Profit ÷ Total Revenue</t>
  </si>
  <si>
    <t>EBITDA Margin (%)</t>
  </si>
  <si>
    <t>EBITDA ÷ Total Revenue</t>
  </si>
  <si>
    <t>Net Margin (%)</t>
  </si>
  <si>
    <t>Net Profit ÷ Total Revenue</t>
  </si>
  <si>
    <t>Revenue per Ride (₹)</t>
  </si>
  <si>
    <t>Total Revenue ÷ Total Rides</t>
  </si>
  <si>
    <t>Contribution/Ride (₹)</t>
  </si>
  <si>
    <t>(Revenue – Variable Costs) ÷ Rides</t>
  </si>
  <si>
    <t>Monthly Burn Rate (₹)</t>
  </si>
  <si>
    <t>Fixed OpEx + D&amp;A + Interest</t>
  </si>
  <si>
    <t>Jan Actual</t>
  </si>
  <si>
    <t>Jan Variance ₹</t>
  </si>
  <si>
    <t>Jan Var %</t>
  </si>
  <si>
    <t>Q1 Actual</t>
  </si>
  <si>
    <t>Q1 Variance ₹</t>
  </si>
  <si>
    <t>Q1 Var %</t>
  </si>
  <si>
    <t>F / (U)</t>
  </si>
  <si>
    <t>Ride Commission Income (net GST)</t>
  </si>
  <si>
    <t>Corporate Partnership Fees (net TDS)</t>
  </si>
  <si>
    <t>Office / Co-working</t>
  </si>
  <si>
    <t>Marketing — Digital Ads</t>
  </si>
  <si>
    <t>EBITDA</t>
  </si>
  <si>
    <t>D&amp;A + Interest</t>
  </si>
  <si>
    <t>NET PROFIT / (LOSS)</t>
  </si>
  <si>
    <t>(U)</t>
  </si>
  <si>
    <t>-</t>
  </si>
  <si>
    <t>F</t>
  </si>
  <si>
    <t>BUDGET — prepared Dec 2025 prior to Q1. All amounts ₹. Blue = assumptions from 'Budget Assumptions'.</t>
  </si>
  <si>
    <t>BUDGET file — set before Q1 commenced. Compare against Actual for variance analysis. Blue = hardcoded input | Yellow = key assumption | Green text = cross-sheet link</t>
  </si>
  <si>
    <t>GatiGo - Actual vs. Budget Analysis  |  Q1 of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</si>
</sst>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\-"/>
    <numFmt numFmtId="165" formatCode="\₹#,##0;&quot;(₹&quot;#,##0\);\-"/>
    <numFmt numFmtId="166" formatCode="0.0%;\(0.0%\);\-"/>
  </numFmts>
  <fonts count="31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9"/>
      <color rgb="FF555555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i/>
      <sz val="9"/>
      <color rgb="FF666666"/>
      <name val="Arial"/>
      <family val="2"/>
    </font>
    <font>
      <i/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10"/>
      <color rgb="FF007A00"/>
      <name val="Arial"/>
      <family val="2"/>
    </font>
    <font>
      <sz val="10"/>
      <color rgb="FF007A00"/>
      <name val="Arial"/>
      <family val="2"/>
    </font>
    <font>
      <b/>
      <sz val="10"/>
      <color rgb="FF1A1A2E"/>
      <name val="Arial"/>
      <family val="2"/>
    </font>
    <font>
      <b/>
      <sz val="9"/>
      <color rgb="FF555555"/>
      <name val="Arial"/>
      <family val="2"/>
    </font>
    <font>
      <sz val="9"/>
      <color rgb="FF555555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10"/>
      <color rgb="FF888888"/>
      <name val="Arial"/>
      <family val="2"/>
    </font>
    <font>
      <i/>
      <sz val="9"/>
      <color rgb="FF888888"/>
      <name val="Arial"/>
      <family val="2"/>
    </font>
    <font>
      <b/>
      <sz val="9"/>
      <color rgb="FF1A1A2E"/>
      <name val="Arial"/>
      <family val="2"/>
    </font>
    <font>
      <i/>
      <sz val="9"/>
      <color rgb="FF0000FF"/>
      <name val="Arial"/>
      <family val="2"/>
    </font>
    <font>
      <sz val="10"/>
      <color theme="4"/>
      <name val="Arial"/>
      <family val="2"/>
    </font>
    <font>
      <i/>
      <sz val="9"/>
      <color theme="4"/>
      <name val="Arial"/>
      <family val="2"/>
    </font>
    <font>
      <b/>
      <sz val="10"/>
      <color theme="4"/>
      <name val="Arial"/>
      <family val="2"/>
    </font>
    <font>
      <i/>
      <sz val="9"/>
      <color rgb="FF88888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rgb="FF555555"/>
      <name val="Arial"/>
      <family val="2"/>
    </font>
    <font>
      <sz val="10"/>
      <color rgb="FF000000"/>
      <name val="Arial"/>
      <family val="2"/>
    </font>
    <font>
      <sz val="10"/>
      <color rgb="FF007A00"/>
      <name val="Arial"/>
      <family val="2"/>
    </font>
    <font>
      <i/>
      <sz val="9"/>
      <color rgb="FFCCCCCC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1B6CA8"/>
        <bgColor rgb="FF008080"/>
      </patternFill>
    </fill>
    <fill>
      <patternFill patternType="solid">
        <fgColor rgb="FFEBF3FB"/>
        <bgColor rgb="FFF5F5F5"/>
      </patternFill>
    </fill>
    <fill>
      <patternFill patternType="solid">
        <fgColor rgb="FFFFFDE7"/>
        <bgColor rgb="FFFFFFFF"/>
      </patternFill>
    </fill>
    <fill>
      <patternFill patternType="solid">
        <fgColor rgb="FFFFFFFF"/>
        <bgColor rgb="FFFFFDE7"/>
      </patternFill>
    </fill>
    <fill>
      <patternFill patternType="solid">
        <fgColor rgb="FFE8F5E9"/>
        <bgColor rgb="FFEBF3FB"/>
      </patternFill>
    </fill>
    <fill>
      <patternFill patternType="solid">
        <fgColor rgb="FFD0E8F5"/>
        <bgColor rgb="FFE8F5E9"/>
      </patternFill>
    </fill>
    <fill>
      <patternFill patternType="solid">
        <fgColor rgb="FFFDECEA"/>
        <bgColor rgb="FFF5F5F5"/>
      </patternFill>
    </fill>
    <fill>
      <patternFill patternType="solid">
        <fgColor rgb="FFFADADD"/>
        <bgColor rgb="FFFDECEA"/>
      </patternFill>
    </fill>
    <fill>
      <patternFill patternType="solid">
        <fgColor rgb="FF1A1A2E"/>
        <bgColor rgb="FF333333"/>
      </patternFill>
    </fill>
    <fill>
      <patternFill patternType="solid">
        <fgColor rgb="FFF5F5F5"/>
        <bgColor rgb="FFEBF3FB"/>
      </patternFill>
    </fill>
    <fill>
      <patternFill patternType="solid">
        <fgColor rgb="FF2E4082"/>
        <bgColor rgb="FF333333"/>
      </patternFill>
    </fill>
    <fill>
      <patternFill patternType="solid">
        <fgColor rgb="FFD6E4F0"/>
        <bgColor rgb="FFE8F5E9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1A1A2E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165" fontId="4" fillId="3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165" fontId="4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165" fontId="10" fillId="5" borderId="1" xfId="0" applyNumberFormat="1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left" vertical="center" wrapText="1"/>
    </xf>
    <xf numFmtId="165" fontId="11" fillId="7" borderId="3" xfId="0" applyNumberFormat="1" applyFont="1" applyFill="1" applyBorder="1" applyAlignment="1">
      <alignment horizontal="right" vertical="center"/>
    </xf>
    <xf numFmtId="166" fontId="12" fillId="7" borderId="3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left" vertical="center" wrapText="1"/>
    </xf>
    <xf numFmtId="165" fontId="4" fillId="8" borderId="1" xfId="0" applyNumberFormat="1" applyFont="1" applyFill="1" applyBorder="1" applyAlignment="1">
      <alignment horizontal="right" vertical="center"/>
    </xf>
    <xf numFmtId="166" fontId="13" fillId="8" borderId="1" xfId="0" applyNumberFormat="1" applyFont="1" applyFill="1" applyBorder="1" applyAlignment="1">
      <alignment horizontal="right" vertical="center"/>
    </xf>
    <xf numFmtId="165" fontId="10" fillId="8" borderId="1" xfId="0" applyNumberFormat="1" applyFont="1" applyFill="1" applyBorder="1" applyAlignment="1">
      <alignment horizontal="right" vertical="center"/>
    </xf>
    <xf numFmtId="0" fontId="11" fillId="9" borderId="3" xfId="0" applyFont="1" applyFill="1" applyBorder="1" applyAlignment="1">
      <alignment horizontal="left" vertical="center" wrapText="1"/>
    </xf>
    <xf numFmtId="165" fontId="11" fillId="9" borderId="3" xfId="0" applyNumberFormat="1" applyFont="1" applyFill="1" applyBorder="1" applyAlignment="1">
      <alignment horizontal="right" vertical="center"/>
    </xf>
    <xf numFmtId="166" fontId="12" fillId="9" borderId="3" xfId="0" applyNumberFormat="1" applyFont="1" applyFill="1" applyBorder="1" applyAlignment="1">
      <alignment horizontal="right" vertical="center"/>
    </xf>
    <xf numFmtId="0" fontId="14" fillId="10" borderId="3" xfId="0" applyFont="1" applyFill="1" applyBorder="1" applyAlignment="1">
      <alignment horizontal="left" vertical="center" wrapText="1"/>
    </xf>
    <xf numFmtId="165" fontId="3" fillId="10" borderId="3" xfId="0" applyNumberFormat="1" applyFont="1" applyFill="1" applyBorder="1" applyAlignment="1">
      <alignment horizontal="right" vertical="center"/>
    </xf>
    <xf numFmtId="166" fontId="15" fillId="10" borderId="3" xfId="0" applyNumberFormat="1" applyFont="1" applyFill="1" applyBorder="1" applyAlignment="1">
      <alignment horizontal="right" vertical="center"/>
    </xf>
    <xf numFmtId="166" fontId="13" fillId="5" borderId="1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166" fontId="15" fillId="2" borderId="3" xfId="0" applyNumberFormat="1" applyFont="1" applyFill="1" applyBorder="1" applyAlignment="1">
      <alignment horizontal="right" vertical="center"/>
    </xf>
    <xf numFmtId="0" fontId="11" fillId="11" borderId="3" xfId="0" applyFont="1" applyFill="1" applyBorder="1" applyAlignment="1">
      <alignment horizontal="left" vertical="center" wrapText="1"/>
    </xf>
    <xf numFmtId="165" fontId="11" fillId="11" borderId="3" xfId="0" applyNumberFormat="1" applyFont="1" applyFill="1" applyBorder="1" applyAlignment="1">
      <alignment horizontal="right" vertical="center"/>
    </xf>
    <xf numFmtId="166" fontId="12" fillId="11" borderId="3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left" vertical="center" wrapText="1"/>
    </xf>
    <xf numFmtId="165" fontId="11" fillId="3" borderId="3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left" vertical="center" wrapText="1"/>
    </xf>
    <xf numFmtId="165" fontId="17" fillId="11" borderId="1" xfId="0" applyNumberFormat="1" applyFont="1" applyFill="1" applyBorder="1" applyAlignment="1">
      <alignment horizontal="right" vertical="center"/>
    </xf>
    <xf numFmtId="165" fontId="4" fillId="11" borderId="1" xfId="0" applyNumberFormat="1" applyFont="1" applyFill="1" applyBorder="1" applyAlignment="1">
      <alignment horizontal="right" vertical="center"/>
    </xf>
    <xf numFmtId="0" fontId="0" fillId="11" borderId="1" xfId="0" applyFont="1" applyFill="1" applyBorder="1"/>
    <xf numFmtId="166" fontId="4" fillId="3" borderId="1" xfId="0" applyNumberFormat="1" applyFont="1" applyFill="1" applyBorder="1" applyAlignment="1">
      <alignment horizontal="right" vertical="center"/>
    </xf>
    <xf numFmtId="0" fontId="3" fillId="10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left" vertical="center" wrapText="1"/>
    </xf>
    <xf numFmtId="165" fontId="20" fillId="4" borderId="3" xfId="0" applyNumberFormat="1" applyFont="1" applyFill="1" applyBorder="1" applyAlignment="1">
      <alignment horizontal="right" vertical="center"/>
    </xf>
    <xf numFmtId="165" fontId="9" fillId="7" borderId="3" xfId="0" applyNumberFormat="1" applyFont="1" applyFill="1" applyBorder="1" applyAlignment="1">
      <alignment horizontal="right" vertical="center"/>
    </xf>
    <xf numFmtId="165" fontId="8" fillId="7" borderId="3" xfId="0" applyNumberFormat="1" applyFont="1" applyFill="1" applyBorder="1" applyAlignment="1">
      <alignment horizontal="right" vertical="center"/>
    </xf>
    <xf numFmtId="166" fontId="8" fillId="7" borderId="3" xfId="0" applyNumberFormat="1" applyFont="1" applyFill="1" applyBorder="1" applyAlignment="1">
      <alignment horizontal="right" vertical="center"/>
    </xf>
    <xf numFmtId="166" fontId="4" fillId="8" borderId="1" xfId="0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left" vertical="center" wrapText="1"/>
    </xf>
    <xf numFmtId="165" fontId="9" fillId="9" borderId="3" xfId="0" applyNumberFormat="1" applyFont="1" applyFill="1" applyBorder="1" applyAlignment="1">
      <alignment horizontal="right" vertical="center"/>
    </xf>
    <xf numFmtId="165" fontId="8" fillId="9" borderId="3" xfId="0" applyNumberFormat="1" applyFont="1" applyFill="1" applyBorder="1" applyAlignment="1">
      <alignment horizontal="right" vertical="center"/>
    </xf>
    <xf numFmtId="166" fontId="8" fillId="9" borderId="3" xfId="0" applyNumberFormat="1" applyFont="1" applyFill="1" applyBorder="1" applyAlignment="1">
      <alignment horizontal="right" vertical="center"/>
    </xf>
    <xf numFmtId="0" fontId="18" fillId="9" borderId="3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166" fontId="11" fillId="7" borderId="3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left" vertical="center" wrapText="1"/>
    </xf>
    <xf numFmtId="166" fontId="3" fillId="2" borderId="3" xfId="0" applyNumberFormat="1" applyFont="1" applyFill="1" applyBorder="1" applyAlignment="1">
      <alignment horizontal="right" vertical="center"/>
    </xf>
    <xf numFmtId="0" fontId="19" fillId="11" borderId="3" xfId="0" applyFont="1" applyFill="1" applyBorder="1" applyAlignment="1">
      <alignment horizontal="left" vertical="center" wrapText="1"/>
    </xf>
    <xf numFmtId="165" fontId="9" fillId="11" borderId="3" xfId="0" applyNumberFormat="1" applyFont="1" applyFill="1" applyBorder="1" applyAlignment="1">
      <alignment horizontal="right" vertical="center"/>
    </xf>
    <xf numFmtId="166" fontId="11" fillId="11" borderId="3" xfId="0" applyNumberFormat="1" applyFont="1" applyFill="1" applyBorder="1" applyAlignment="1">
      <alignment horizontal="right" vertical="center"/>
    </xf>
    <xf numFmtId="0" fontId="3" fillId="10" borderId="3" xfId="0" applyFont="1" applyFill="1" applyBorder="1" applyAlignment="1">
      <alignment horizontal="left" vertical="center" wrapText="1"/>
    </xf>
    <xf numFmtId="166" fontId="3" fillId="10" borderId="3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5" fontId="10" fillId="8" borderId="1" xfId="0" applyNumberFormat="1" applyFont="1" applyFill="1" applyBorder="1" applyAlignment="1">
      <alignment horizontal="right" vertical="center"/>
    </xf>
    <xf numFmtId="165" fontId="11" fillId="9" borderId="3" xfId="0" applyNumberFormat="1" applyFont="1" applyFill="1" applyBorder="1" applyAlignment="1">
      <alignment horizontal="right" vertical="center"/>
    </xf>
    <xf numFmtId="165" fontId="11" fillId="9" borderId="3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5" fontId="4" fillId="8" borderId="1" xfId="0" applyNumberFormat="1" applyFont="1" applyFill="1" applyBorder="1" applyAlignment="1">
      <alignment horizontal="right" vertical="center"/>
    </xf>
    <xf numFmtId="165" fontId="21" fillId="5" borderId="1" xfId="0" applyNumberFormat="1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24" fillId="7" borderId="3" xfId="0" applyFont="1" applyFill="1" applyBorder="1" applyAlignment="1">
      <alignment horizontal="left" vertical="center" wrapText="1"/>
    </xf>
    <xf numFmtId="165" fontId="25" fillId="13" borderId="3" xfId="0" applyNumberFormat="1" applyFont="1" applyFill="1" applyBorder="1" applyAlignment="1">
      <alignment horizontal="right" vertical="center"/>
    </xf>
    <xf numFmtId="165" fontId="26" fillId="4" borderId="3" xfId="0" applyNumberFormat="1" applyFont="1" applyFill="1" applyBorder="1" applyAlignment="1">
      <alignment horizontal="right" vertical="center"/>
    </xf>
    <xf numFmtId="0" fontId="24" fillId="5" borderId="1" xfId="0" applyFont="1" applyFill="1" applyBorder="1" applyAlignment="1">
      <alignment horizontal="left" vertical="center" wrapText="1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9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165" fontId="28" fillId="5" borderId="1" xfId="0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left" vertical="center" wrapText="1"/>
    </xf>
    <xf numFmtId="165" fontId="23" fillId="11" borderId="3" xfId="0" applyNumberFormat="1" applyFont="1" applyFill="1" applyBorder="1" applyAlignment="1">
      <alignment horizontal="right" vertical="center"/>
    </xf>
    <xf numFmtId="0" fontId="0" fillId="0" borderId="0" xfId="0"/>
    <xf numFmtId="0" fontId="30" fillId="10" borderId="3" xfId="0" applyFont="1" applyFill="1" applyBorder="1" applyAlignment="1">
      <alignment horizontal="left" vertical="center" wrapText="1"/>
    </xf>
    <xf numFmtId="0" fontId="24" fillId="11" borderId="3" xfId="0" applyFont="1" applyFill="1" applyBorder="1" applyAlignment="1">
      <alignment horizontal="left" vertical="center" wrapText="1"/>
    </xf>
    <xf numFmtId="0" fontId="0" fillId="15" borderId="0" xfId="0" applyFill="1"/>
    <xf numFmtId="0" fontId="1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14" borderId="0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A00"/>
      <rgbColor rgb="FF000080"/>
      <rgbColor rgb="FF808000"/>
      <rgbColor rgb="FF800080"/>
      <rgbColor rgb="FF008080"/>
      <rgbColor rgb="FFCCCCCC"/>
      <rgbColor rgb="FF888888"/>
      <rgbColor rgb="FF9999FF"/>
      <rgbColor rgb="FF555555"/>
      <rgbColor rgb="FFFFFDE7"/>
      <rgbColor rgb="FFD0E8F5"/>
      <rgbColor rgb="FF660066"/>
      <rgbColor rgb="FFFF8080"/>
      <rgbColor rgb="FF1B6CA8"/>
      <rgbColor rgb="FFF5F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BF3FB"/>
      <rgbColor rgb="FFFDECEA"/>
      <rgbColor rgb="FF99CCFF"/>
      <rgbColor rgb="FFFF99CC"/>
      <rgbColor rgb="FFCC99FF"/>
      <rgbColor rgb="FFFADADD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1A1A2E"/>
      <rgbColor rgb="FF993300"/>
      <rgbColor rgb="FF993366"/>
      <rgbColor rgb="FF2E408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zoomScaleNormal="100" workbookViewId="0">
      <selection activeCell="E64" sqref="E64"/>
    </sheetView>
  </sheetViews>
  <sheetFormatPr defaultColWidth="8.7109375" defaultRowHeight="15" x14ac:dyDescent="0.25"/>
  <cols>
    <col min="1" max="1" width="38" customWidth="1"/>
    <col min="2" max="4" width="13" customWidth="1"/>
    <col min="5" max="5" width="7" customWidth="1"/>
    <col min="6" max="6" width="42" customWidth="1"/>
    <col min="7" max="7" width="45" customWidth="1"/>
  </cols>
  <sheetData>
    <row r="1" spans="1:9" ht="39.75" customHeight="1" x14ac:dyDescent="0.25">
      <c r="A1" s="108" t="s">
        <v>0</v>
      </c>
      <c r="B1" s="108"/>
      <c r="C1" s="108"/>
      <c r="D1" s="108"/>
      <c r="E1" s="108"/>
      <c r="F1" s="108"/>
      <c r="G1" s="108"/>
    </row>
    <row r="2" spans="1:9" ht="15" customHeight="1" x14ac:dyDescent="0.25">
      <c r="A2" s="109" t="s">
        <v>188</v>
      </c>
      <c r="B2" s="110"/>
      <c r="C2" s="110"/>
      <c r="D2" s="110"/>
      <c r="E2" s="110"/>
      <c r="F2" s="110"/>
      <c r="G2" s="110"/>
    </row>
    <row r="3" spans="1:9" ht="21.7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9" ht="15" customHeight="1" x14ac:dyDescent="0.25">
      <c r="A4" s="111" t="s">
        <v>8</v>
      </c>
      <c r="B4" s="111"/>
      <c r="C4" s="111"/>
      <c r="D4" s="111"/>
      <c r="E4" s="111"/>
      <c r="F4" s="111"/>
      <c r="G4" s="111"/>
    </row>
    <row r="5" spans="1:9" x14ac:dyDescent="0.25">
      <c r="A5" s="2" t="s">
        <v>9</v>
      </c>
      <c r="B5" s="3">
        <v>26</v>
      </c>
      <c r="C5" s="3">
        <v>24</v>
      </c>
      <c r="D5" s="3">
        <v>26</v>
      </c>
      <c r="E5" s="4" t="s">
        <v>10</v>
      </c>
      <c r="F5" s="5" t="s">
        <v>11</v>
      </c>
      <c r="G5" s="5" t="s">
        <v>12</v>
      </c>
    </row>
    <row r="6" spans="1:9" ht="24" x14ac:dyDescent="0.25">
      <c r="A6" s="2" t="s">
        <v>13</v>
      </c>
      <c r="B6" s="3">
        <v>210</v>
      </c>
      <c r="C6" s="3">
        <v>240</v>
      </c>
      <c r="D6" s="3">
        <v>270</v>
      </c>
      <c r="E6" s="4" t="s">
        <v>14</v>
      </c>
      <c r="F6" s="5" t="s">
        <v>15</v>
      </c>
      <c r="G6" s="5" t="s">
        <v>16</v>
      </c>
    </row>
    <row r="7" spans="1:9" x14ac:dyDescent="0.25">
      <c r="A7" s="2" t="s">
        <v>17</v>
      </c>
      <c r="B7" s="6">
        <v>150</v>
      </c>
      <c r="C7" s="6">
        <v>150</v>
      </c>
      <c r="D7" s="6">
        <v>150</v>
      </c>
      <c r="E7" s="4" t="s">
        <v>18</v>
      </c>
      <c r="F7" s="5" t="s">
        <v>19</v>
      </c>
      <c r="G7" s="5" t="s">
        <v>20</v>
      </c>
    </row>
    <row r="8" spans="1:9" x14ac:dyDescent="0.25">
      <c r="A8" s="2" t="s">
        <v>21</v>
      </c>
      <c r="B8" s="7">
        <v>0.15</v>
      </c>
      <c r="C8" s="7">
        <v>0.15</v>
      </c>
      <c r="D8" s="7">
        <v>0.15</v>
      </c>
      <c r="E8" s="4" t="s">
        <v>22</v>
      </c>
      <c r="F8" s="5" t="s">
        <v>23</v>
      </c>
      <c r="G8" s="5" t="s">
        <v>24</v>
      </c>
    </row>
    <row r="9" spans="1:9" ht="24" x14ac:dyDescent="0.25">
      <c r="A9" s="2" t="s">
        <v>25</v>
      </c>
      <c r="B9" s="3">
        <v>5</v>
      </c>
      <c r="C9" s="3">
        <v>6</v>
      </c>
      <c r="D9" s="3">
        <v>8</v>
      </c>
      <c r="E9" s="4" t="s">
        <v>14</v>
      </c>
      <c r="F9" s="5" t="s">
        <v>26</v>
      </c>
      <c r="G9" s="5" t="s">
        <v>27</v>
      </c>
    </row>
    <row r="10" spans="1:9" x14ac:dyDescent="0.25">
      <c r="A10" s="2" t="s">
        <v>28</v>
      </c>
      <c r="B10" s="6">
        <v>24000</v>
      </c>
      <c r="C10" s="6">
        <v>24000</v>
      </c>
      <c r="D10" s="6">
        <v>24000</v>
      </c>
      <c r="E10" s="4" t="s">
        <v>18</v>
      </c>
      <c r="F10" s="5" t="s">
        <v>29</v>
      </c>
      <c r="G10" s="5" t="s">
        <v>30</v>
      </c>
      <c r="I10" s="104"/>
    </row>
    <row r="11" spans="1:9" ht="24" x14ac:dyDescent="0.25">
      <c r="A11" s="2" t="s">
        <v>31</v>
      </c>
      <c r="B11" s="3">
        <v>350</v>
      </c>
      <c r="C11" s="3">
        <v>450</v>
      </c>
      <c r="D11" s="3">
        <v>550</v>
      </c>
      <c r="E11" s="4" t="s">
        <v>14</v>
      </c>
      <c r="F11" s="5" t="s">
        <v>32</v>
      </c>
      <c r="G11" s="5" t="s">
        <v>33</v>
      </c>
      <c r="I11" s="104"/>
    </row>
    <row r="12" spans="1:9" x14ac:dyDescent="0.25">
      <c r="A12" s="2" t="s">
        <v>34</v>
      </c>
      <c r="B12" s="6">
        <v>199</v>
      </c>
      <c r="C12" s="6">
        <v>199</v>
      </c>
      <c r="D12" s="6">
        <v>199</v>
      </c>
      <c r="E12" s="4" t="s">
        <v>18</v>
      </c>
      <c r="F12" s="5" t="s">
        <v>35</v>
      </c>
      <c r="G12" s="5" t="s">
        <v>36</v>
      </c>
      <c r="I12" s="104"/>
    </row>
    <row r="13" spans="1:9" ht="15" customHeight="1" x14ac:dyDescent="0.25">
      <c r="A13" s="111" t="s">
        <v>37</v>
      </c>
      <c r="B13" s="111"/>
      <c r="C13" s="111"/>
      <c r="D13" s="111"/>
      <c r="E13" s="111"/>
      <c r="F13" s="111"/>
      <c r="G13" s="111"/>
      <c r="I13" s="104"/>
    </row>
    <row r="14" spans="1:9" x14ac:dyDescent="0.25">
      <c r="A14" s="2" t="s">
        <v>38</v>
      </c>
      <c r="B14" s="6">
        <v>25000</v>
      </c>
      <c r="C14" s="6">
        <v>28000</v>
      </c>
      <c r="D14" s="6">
        <v>32000</v>
      </c>
      <c r="E14" s="4" t="s">
        <v>18</v>
      </c>
      <c r="F14" s="5" t="s">
        <v>39</v>
      </c>
      <c r="G14" s="5" t="s">
        <v>40</v>
      </c>
      <c r="I14" s="104"/>
    </row>
    <row r="15" spans="1:9" ht="24" x14ac:dyDescent="0.25">
      <c r="A15" s="2" t="s">
        <v>41</v>
      </c>
      <c r="B15" s="3">
        <v>0</v>
      </c>
      <c r="C15" s="3">
        <v>60</v>
      </c>
      <c r="D15" s="3">
        <v>120</v>
      </c>
      <c r="E15" s="4" t="s">
        <v>14</v>
      </c>
      <c r="F15" s="5" t="s">
        <v>42</v>
      </c>
      <c r="G15" s="5" t="s">
        <v>43</v>
      </c>
      <c r="I15" s="104"/>
    </row>
    <row r="16" spans="1:9" x14ac:dyDescent="0.25">
      <c r="A16" s="2" t="s">
        <v>44</v>
      </c>
      <c r="B16" s="6">
        <v>800</v>
      </c>
      <c r="C16" s="6">
        <v>800</v>
      </c>
      <c r="D16" s="6">
        <v>800</v>
      </c>
      <c r="E16" s="4" t="s">
        <v>18</v>
      </c>
      <c r="F16" s="5" t="s">
        <v>35</v>
      </c>
      <c r="G16" s="5" t="s">
        <v>45</v>
      </c>
      <c r="I16" s="104"/>
    </row>
    <row r="17" spans="1:9" x14ac:dyDescent="0.25">
      <c r="A17" s="2" t="s">
        <v>46</v>
      </c>
      <c r="B17" s="7">
        <v>0.12</v>
      </c>
      <c r="C17" s="7">
        <v>0.12</v>
      </c>
      <c r="D17" s="7">
        <v>0.12</v>
      </c>
      <c r="E17" s="4" t="s">
        <v>22</v>
      </c>
      <c r="F17" s="5" t="s">
        <v>47</v>
      </c>
      <c r="G17" s="5" t="s">
        <v>24</v>
      </c>
      <c r="I17" s="104"/>
    </row>
    <row r="18" spans="1:9" ht="15" customHeight="1" x14ac:dyDescent="0.25">
      <c r="A18" s="111" t="s">
        <v>48</v>
      </c>
      <c r="B18" s="111"/>
      <c r="C18" s="111"/>
      <c r="D18" s="111"/>
      <c r="E18" s="111"/>
      <c r="F18" s="111"/>
      <c r="G18" s="111"/>
      <c r="I18" s="104"/>
    </row>
    <row r="19" spans="1:9" ht="24" x14ac:dyDescent="0.25">
      <c r="A19" s="2" t="s">
        <v>49</v>
      </c>
      <c r="B19" s="6">
        <v>50</v>
      </c>
      <c r="C19" s="6">
        <v>50</v>
      </c>
      <c r="D19" s="6">
        <v>50</v>
      </c>
      <c r="E19" s="4" t="s">
        <v>18</v>
      </c>
      <c r="F19" s="5" t="s">
        <v>50</v>
      </c>
      <c r="G19" s="5" t="s">
        <v>51</v>
      </c>
      <c r="I19" s="104"/>
    </row>
    <row r="20" spans="1:9" x14ac:dyDescent="0.25">
      <c r="A20" s="2" t="s">
        <v>52</v>
      </c>
      <c r="B20" s="6">
        <v>3</v>
      </c>
      <c r="C20" s="6">
        <v>3</v>
      </c>
      <c r="D20" s="6">
        <v>3</v>
      </c>
      <c r="E20" s="4" t="s">
        <v>18</v>
      </c>
      <c r="F20" s="5" t="s">
        <v>53</v>
      </c>
      <c r="G20" s="5" t="s">
        <v>54</v>
      </c>
      <c r="I20" s="104"/>
    </row>
    <row r="21" spans="1:9" x14ac:dyDescent="0.25">
      <c r="A21" s="2" t="s">
        <v>55</v>
      </c>
      <c r="B21" s="6">
        <v>50</v>
      </c>
      <c r="C21" s="6">
        <v>50</v>
      </c>
      <c r="D21" s="6">
        <v>50</v>
      </c>
      <c r="E21" s="4" t="s">
        <v>18</v>
      </c>
      <c r="F21" s="5" t="s">
        <v>56</v>
      </c>
      <c r="G21" s="5" t="s">
        <v>57</v>
      </c>
      <c r="I21" s="104"/>
    </row>
    <row r="22" spans="1:9" x14ac:dyDescent="0.25">
      <c r="A22" s="2" t="s">
        <v>58</v>
      </c>
      <c r="B22" s="3">
        <v>700</v>
      </c>
      <c r="C22" s="3">
        <v>850</v>
      </c>
      <c r="D22" s="3">
        <v>1000</v>
      </c>
      <c r="E22" s="4" t="s">
        <v>14</v>
      </c>
      <c r="F22" s="5" t="s">
        <v>59</v>
      </c>
      <c r="G22" s="5" t="s">
        <v>60</v>
      </c>
      <c r="I22" s="104"/>
    </row>
    <row r="23" spans="1:9" ht="15" customHeight="1" x14ac:dyDescent="0.25">
      <c r="A23" s="111" t="s">
        <v>61</v>
      </c>
      <c r="B23" s="111"/>
      <c r="C23" s="111"/>
      <c r="D23" s="111"/>
      <c r="E23" s="111"/>
      <c r="F23" s="111"/>
      <c r="G23" s="111"/>
      <c r="I23" s="104"/>
    </row>
    <row r="24" spans="1:9" x14ac:dyDescent="0.25">
      <c r="A24" s="2" t="s">
        <v>62</v>
      </c>
      <c r="B24" s="6">
        <v>120000</v>
      </c>
      <c r="C24" s="6">
        <v>120000</v>
      </c>
      <c r="D24" s="6">
        <v>120000</v>
      </c>
      <c r="E24" s="4" t="s">
        <v>18</v>
      </c>
      <c r="F24" s="5" t="s">
        <v>63</v>
      </c>
      <c r="G24" s="5" t="s">
        <v>64</v>
      </c>
      <c r="I24" s="104"/>
    </row>
    <row r="25" spans="1:9" x14ac:dyDescent="0.25">
      <c r="A25" s="2" t="s">
        <v>65</v>
      </c>
      <c r="B25" s="6">
        <v>80000</v>
      </c>
      <c r="C25" s="6">
        <v>80000</v>
      </c>
      <c r="D25" s="6">
        <v>80000</v>
      </c>
      <c r="E25" s="4" t="s">
        <v>18</v>
      </c>
      <c r="F25" s="5" t="s">
        <v>66</v>
      </c>
      <c r="G25" s="5" t="s">
        <v>67</v>
      </c>
      <c r="I25" s="104"/>
    </row>
    <row r="26" spans="1:9" x14ac:dyDescent="0.25">
      <c r="A26" s="2" t="s">
        <v>68</v>
      </c>
      <c r="B26" s="6">
        <v>60000</v>
      </c>
      <c r="C26" s="6">
        <v>60000</v>
      </c>
      <c r="D26" s="6">
        <v>60000</v>
      </c>
      <c r="E26" s="4" t="s">
        <v>18</v>
      </c>
      <c r="F26" s="5" t="s">
        <v>69</v>
      </c>
      <c r="G26" s="5" t="s">
        <v>67</v>
      </c>
      <c r="I26" s="104"/>
    </row>
    <row r="27" spans="1:9" x14ac:dyDescent="0.25">
      <c r="A27" s="2" t="s">
        <v>70</v>
      </c>
      <c r="B27" s="6">
        <v>30000</v>
      </c>
      <c r="C27" s="6">
        <v>30000</v>
      </c>
      <c r="D27" s="6">
        <v>30000</v>
      </c>
      <c r="E27" s="4" t="s">
        <v>18</v>
      </c>
      <c r="F27" s="5" t="s">
        <v>71</v>
      </c>
      <c r="G27" s="5" t="s">
        <v>72</v>
      </c>
      <c r="I27" s="104"/>
    </row>
    <row r="28" spans="1:9" x14ac:dyDescent="0.25">
      <c r="A28" s="2" t="s">
        <v>73</v>
      </c>
      <c r="B28" s="6">
        <v>25000</v>
      </c>
      <c r="C28" s="6">
        <v>25000</v>
      </c>
      <c r="D28" s="6">
        <v>25000</v>
      </c>
      <c r="E28" s="4" t="s">
        <v>18</v>
      </c>
      <c r="F28" s="5" t="s">
        <v>74</v>
      </c>
      <c r="G28" s="5" t="s">
        <v>75</v>
      </c>
    </row>
    <row r="29" spans="1:9" ht="24" x14ac:dyDescent="0.25">
      <c r="A29" s="2" t="s">
        <v>76</v>
      </c>
      <c r="B29" s="6">
        <v>70000</v>
      </c>
      <c r="C29" s="6">
        <v>75000</v>
      </c>
      <c r="D29" s="6">
        <v>80000</v>
      </c>
      <c r="E29" s="4" t="s">
        <v>18</v>
      </c>
      <c r="F29" s="5" t="s">
        <v>77</v>
      </c>
      <c r="G29" s="5" t="s">
        <v>78</v>
      </c>
    </row>
    <row r="30" spans="1:9" ht="24" x14ac:dyDescent="0.25">
      <c r="A30" s="2" t="s">
        <v>79</v>
      </c>
      <c r="B30" s="6">
        <v>10000</v>
      </c>
      <c r="C30" s="6">
        <v>12000</v>
      </c>
      <c r="D30" s="6">
        <v>15000</v>
      </c>
      <c r="E30" s="4" t="s">
        <v>18</v>
      </c>
      <c r="F30" s="5" t="s">
        <v>80</v>
      </c>
      <c r="G30" s="5" t="s">
        <v>78</v>
      </c>
    </row>
    <row r="31" spans="1:9" x14ac:dyDescent="0.25">
      <c r="A31" s="2" t="s">
        <v>81</v>
      </c>
      <c r="B31" s="6">
        <v>18000</v>
      </c>
      <c r="C31" s="6">
        <v>18000</v>
      </c>
      <c r="D31" s="6">
        <v>18000</v>
      </c>
      <c r="E31" s="4" t="s">
        <v>18</v>
      </c>
      <c r="F31" s="5" t="s">
        <v>82</v>
      </c>
      <c r="G31" s="5" t="s">
        <v>83</v>
      </c>
    </row>
    <row r="32" spans="1:9" x14ac:dyDescent="0.25">
      <c r="A32" s="2" t="s">
        <v>84</v>
      </c>
      <c r="B32" s="6">
        <v>15000</v>
      </c>
      <c r="C32" s="6">
        <v>15000</v>
      </c>
      <c r="D32" s="6">
        <v>15000</v>
      </c>
      <c r="E32" s="4" t="s">
        <v>18</v>
      </c>
      <c r="F32" s="5" t="s">
        <v>85</v>
      </c>
      <c r="G32" s="5" t="s">
        <v>86</v>
      </c>
    </row>
    <row r="33" spans="1:8" x14ac:dyDescent="0.25">
      <c r="A33" s="2" t="s">
        <v>87</v>
      </c>
      <c r="B33" s="6">
        <v>8000</v>
      </c>
      <c r="C33" s="6">
        <v>8000</v>
      </c>
      <c r="D33" s="6">
        <v>8000</v>
      </c>
      <c r="E33" s="4" t="s">
        <v>18</v>
      </c>
      <c r="F33" s="5" t="s">
        <v>88</v>
      </c>
      <c r="G33" s="5" t="s">
        <v>89</v>
      </c>
    </row>
    <row r="34" spans="1:8" x14ac:dyDescent="0.25">
      <c r="A34" s="2" t="s">
        <v>90</v>
      </c>
      <c r="B34" s="6">
        <v>5000</v>
      </c>
      <c r="C34" s="6">
        <v>5000</v>
      </c>
      <c r="D34" s="6">
        <v>5000</v>
      </c>
      <c r="E34" s="4" t="s">
        <v>18</v>
      </c>
      <c r="F34" s="5" t="s">
        <v>91</v>
      </c>
      <c r="G34" s="5" t="s">
        <v>92</v>
      </c>
    </row>
    <row r="35" spans="1:8" ht="15" customHeight="1" x14ac:dyDescent="0.25">
      <c r="A35" s="111" t="s">
        <v>93</v>
      </c>
      <c r="B35" s="111"/>
      <c r="C35" s="111"/>
      <c r="D35" s="111"/>
      <c r="E35" s="111"/>
      <c r="F35" s="111"/>
      <c r="G35" s="111"/>
    </row>
    <row r="36" spans="1:8" x14ac:dyDescent="0.25">
      <c r="A36" s="2" t="s">
        <v>94</v>
      </c>
      <c r="B36" s="7">
        <v>0.18</v>
      </c>
      <c r="C36" s="7">
        <v>0.18</v>
      </c>
      <c r="D36" s="7">
        <v>0.18</v>
      </c>
      <c r="E36" s="4" t="s">
        <v>22</v>
      </c>
      <c r="F36" s="5" t="s">
        <v>95</v>
      </c>
      <c r="G36" s="5" t="s">
        <v>96</v>
      </c>
    </row>
    <row r="37" spans="1:8" x14ac:dyDescent="0.25">
      <c r="A37" s="2" t="s">
        <v>97</v>
      </c>
      <c r="B37" s="7">
        <v>0.1</v>
      </c>
      <c r="C37" s="7">
        <v>0.1</v>
      </c>
      <c r="D37" s="7">
        <v>0.1</v>
      </c>
      <c r="E37" s="4" t="s">
        <v>22</v>
      </c>
      <c r="F37" s="5" t="s">
        <v>98</v>
      </c>
      <c r="G37" s="5" t="s">
        <v>99</v>
      </c>
    </row>
    <row r="38" spans="1:8" x14ac:dyDescent="0.25">
      <c r="A38" s="2" t="s">
        <v>100</v>
      </c>
      <c r="B38" s="6">
        <v>12500</v>
      </c>
      <c r="C38" s="6">
        <v>12500</v>
      </c>
      <c r="D38" s="6">
        <v>12500</v>
      </c>
      <c r="E38" s="4" t="s">
        <v>18</v>
      </c>
      <c r="F38" s="5" t="s">
        <v>101</v>
      </c>
      <c r="G38" s="5" t="s">
        <v>102</v>
      </c>
    </row>
    <row r="39" spans="1:8" x14ac:dyDescent="0.25">
      <c r="A39" s="2" t="s">
        <v>103</v>
      </c>
      <c r="B39" s="6">
        <v>3500</v>
      </c>
      <c r="C39" s="6">
        <v>3500</v>
      </c>
      <c r="D39" s="6">
        <v>3500</v>
      </c>
      <c r="E39" s="4" t="s">
        <v>18</v>
      </c>
      <c r="F39" s="5" t="s">
        <v>104</v>
      </c>
      <c r="G39" s="5" t="s">
        <v>105</v>
      </c>
    </row>
    <row r="41" spans="1:8" ht="15" customHeight="1" x14ac:dyDescent="0.25">
      <c r="A41" s="112"/>
      <c r="B41" s="112"/>
      <c r="C41" s="112"/>
      <c r="D41" s="112"/>
      <c r="E41" s="112"/>
      <c r="F41" s="112"/>
      <c r="G41" s="112"/>
      <c r="H41" s="107"/>
    </row>
    <row r="42" spans="1:8" ht="15" customHeight="1" x14ac:dyDescent="0.25">
      <c r="A42" s="113"/>
      <c r="B42" s="113"/>
      <c r="C42" s="113"/>
      <c r="D42" s="113"/>
      <c r="E42" s="113"/>
      <c r="F42" s="113"/>
      <c r="G42" s="113"/>
      <c r="H42" s="107"/>
    </row>
    <row r="43" spans="1:8" ht="15" customHeight="1" x14ac:dyDescent="0.25">
      <c r="A43" s="113"/>
      <c r="B43" s="113"/>
      <c r="C43" s="113"/>
      <c r="D43" s="113"/>
      <c r="E43" s="113"/>
      <c r="F43" s="113"/>
      <c r="G43" s="113"/>
      <c r="H43" s="107"/>
    </row>
    <row r="44" spans="1:8" ht="15" customHeight="1" x14ac:dyDescent="0.25">
      <c r="A44" s="111" t="s">
        <v>106</v>
      </c>
      <c r="B44" s="111"/>
      <c r="C44" s="111"/>
      <c r="D44" s="111"/>
      <c r="E44" s="111"/>
      <c r="F44" s="111"/>
      <c r="G44" s="111"/>
      <c r="H44" s="107"/>
    </row>
    <row r="45" spans="1:8" ht="15" customHeight="1" x14ac:dyDescent="0.25">
      <c r="A45" s="116" t="s">
        <v>107</v>
      </c>
      <c r="B45" s="116"/>
      <c r="C45" s="116"/>
      <c r="D45" s="116"/>
      <c r="E45" s="116"/>
      <c r="F45" s="116"/>
      <c r="G45" s="116"/>
      <c r="H45" s="107"/>
    </row>
    <row r="46" spans="1:8" ht="15" customHeight="1" x14ac:dyDescent="0.25">
      <c r="A46" s="117" t="s">
        <v>108</v>
      </c>
      <c r="B46" s="117"/>
      <c r="C46" s="117"/>
      <c r="D46" s="117"/>
      <c r="E46" s="117"/>
      <c r="F46" s="117"/>
      <c r="G46" s="117"/>
      <c r="H46" s="107"/>
    </row>
    <row r="47" spans="1:8" ht="15" customHeight="1" x14ac:dyDescent="0.25">
      <c r="A47" s="114" t="s">
        <v>109</v>
      </c>
      <c r="B47" s="114"/>
      <c r="C47" s="114"/>
      <c r="D47" s="114"/>
      <c r="E47" s="114"/>
      <c r="F47" s="114"/>
      <c r="G47" s="114"/>
      <c r="H47" s="107"/>
    </row>
    <row r="48" spans="1:8" ht="15" customHeight="1" x14ac:dyDescent="0.25">
      <c r="A48" s="115" t="s">
        <v>110</v>
      </c>
      <c r="B48" s="115"/>
      <c r="C48" s="115"/>
      <c r="D48" s="115"/>
      <c r="E48" s="115"/>
      <c r="F48" s="115"/>
      <c r="G48" s="115"/>
      <c r="H48" s="107"/>
    </row>
    <row r="49" spans="1:8" ht="15" customHeight="1" x14ac:dyDescent="0.25">
      <c r="A49" s="113"/>
      <c r="B49" s="113"/>
      <c r="C49" s="113"/>
      <c r="D49" s="113"/>
      <c r="E49" s="113"/>
      <c r="F49" s="113"/>
      <c r="G49" s="113"/>
      <c r="H49" s="107"/>
    </row>
    <row r="50" spans="1:8" ht="15" customHeight="1" x14ac:dyDescent="0.25">
      <c r="A50" s="113"/>
      <c r="B50" s="113"/>
      <c r="C50" s="113"/>
      <c r="D50" s="113"/>
      <c r="E50" s="113"/>
      <c r="F50" s="113"/>
      <c r="G50" s="113"/>
      <c r="H50" s="107"/>
    </row>
    <row r="51" spans="1:8" x14ac:dyDescent="0.25">
      <c r="A51" s="107"/>
      <c r="B51" s="107"/>
      <c r="C51" s="107"/>
      <c r="D51" s="107"/>
      <c r="E51" s="107"/>
      <c r="F51" s="107"/>
      <c r="G51" s="107"/>
      <c r="H51" s="107"/>
    </row>
    <row r="52" spans="1:8" ht="15" customHeight="1" x14ac:dyDescent="0.25"/>
    <row r="53" spans="1:8" ht="15" customHeight="1" x14ac:dyDescent="0.25"/>
    <row r="54" spans="1:8" ht="15" customHeight="1" x14ac:dyDescent="0.25"/>
    <row r="55" spans="1:8" ht="15" customHeight="1" x14ac:dyDescent="0.25"/>
    <row r="56" spans="1:8" ht="15" customHeight="1" x14ac:dyDescent="0.25"/>
  </sheetData>
  <mergeCells count="17">
    <mergeCell ref="A47:G47"/>
    <mergeCell ref="A48:G48"/>
    <mergeCell ref="A49:G49"/>
    <mergeCell ref="A50:G50"/>
    <mergeCell ref="A44:G44"/>
    <mergeCell ref="A45:G45"/>
    <mergeCell ref="A46:G46"/>
    <mergeCell ref="A23:G23"/>
    <mergeCell ref="A35:G35"/>
    <mergeCell ref="A41:G41"/>
    <mergeCell ref="A42:G42"/>
    <mergeCell ref="A43:G43"/>
    <mergeCell ref="A1:G1"/>
    <mergeCell ref="A2:G2"/>
    <mergeCell ref="A4:G4"/>
    <mergeCell ref="A13:G13"/>
    <mergeCell ref="A18:G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defaultColWidth="8.7109375" defaultRowHeight="15" x14ac:dyDescent="0.25"/>
  <cols>
    <col min="1" max="1" width="38" customWidth="1"/>
    <col min="2" max="4" width="15" customWidth="1"/>
    <col min="5" max="5" width="16" customWidth="1"/>
    <col min="6" max="8" width="11" customWidth="1"/>
  </cols>
  <sheetData>
    <row r="1" spans="1:8" ht="43.5" customHeight="1" x14ac:dyDescent="0.25">
      <c r="A1" s="108" t="s">
        <v>111</v>
      </c>
      <c r="B1" s="108"/>
      <c r="C1" s="108"/>
      <c r="D1" s="108"/>
      <c r="E1" s="108"/>
      <c r="F1" s="108"/>
      <c r="G1" s="108"/>
      <c r="H1" s="108"/>
    </row>
    <row r="2" spans="1:8" ht="15" customHeight="1" x14ac:dyDescent="0.25">
      <c r="A2" s="109" t="s">
        <v>187</v>
      </c>
      <c r="B2" s="110"/>
      <c r="C2" s="110"/>
      <c r="D2" s="110"/>
      <c r="E2" s="110"/>
      <c r="F2" s="110"/>
      <c r="G2" s="110"/>
      <c r="H2" s="110"/>
    </row>
    <row r="3" spans="1:8" ht="21.75" customHeight="1" x14ac:dyDescent="0.25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</row>
    <row r="4" spans="1:8" ht="18" customHeight="1" x14ac:dyDescent="0.25">
      <c r="A4" s="111" t="s">
        <v>120</v>
      </c>
      <c r="B4" s="111"/>
      <c r="C4" s="111"/>
      <c r="D4" s="111"/>
      <c r="E4" s="111"/>
      <c r="F4" s="111"/>
      <c r="G4" s="111"/>
      <c r="H4" s="111"/>
    </row>
    <row r="5" spans="1:8" x14ac:dyDescent="0.25">
      <c r="A5" s="2" t="s">
        <v>121</v>
      </c>
      <c r="B5" s="8">
        <f>'Budget Assumptions'!B6*'Budget Assumptions'!B5</f>
        <v>5460</v>
      </c>
      <c r="C5" s="8">
        <f>'Budget Assumptions'!C6*'Budget Assumptions'!C5</f>
        <v>5760</v>
      </c>
      <c r="D5" s="8">
        <f>'Budget Assumptions'!D6*'Budget Assumptions'!D5</f>
        <v>7020</v>
      </c>
      <c r="E5" s="9">
        <f t="shared" ref="E5:E12" si="0">B5+C5+D5</f>
        <v>18240</v>
      </c>
      <c r="F5" s="10"/>
      <c r="G5" s="10"/>
      <c r="H5" s="10"/>
    </row>
    <row r="6" spans="1:8" x14ac:dyDescent="0.25">
      <c r="A6" s="2" t="s">
        <v>122</v>
      </c>
      <c r="B6" s="11">
        <f>B5*'Budget Assumptions'!B7</f>
        <v>819000</v>
      </c>
      <c r="C6" s="11">
        <f>C5*'Budget Assumptions'!C7</f>
        <v>864000</v>
      </c>
      <c r="D6" s="11">
        <f>D5*'Budget Assumptions'!D7</f>
        <v>1053000</v>
      </c>
      <c r="E6" s="11">
        <f t="shared" si="0"/>
        <v>2736000</v>
      </c>
      <c r="F6" s="10"/>
      <c r="G6" s="10"/>
      <c r="H6" s="10"/>
    </row>
    <row r="7" spans="1:8" x14ac:dyDescent="0.25">
      <c r="A7" s="12" t="s">
        <v>123</v>
      </c>
      <c r="B7" s="13">
        <f>B6*'Budget Assumptions'!B8/(1+'Budget Assumptions'!B36)</f>
        <v>104110.16949152543</v>
      </c>
      <c r="C7" s="13">
        <f>C6*'Budget Assumptions'!C8/(1+'Budget Assumptions'!C36)</f>
        <v>109830.50847457627</v>
      </c>
      <c r="D7" s="13">
        <f>D6*'Budget Assumptions'!D8/(1+'Budget Assumptions'!D36)</f>
        <v>133855.93220338985</v>
      </c>
      <c r="E7" s="13">
        <f t="shared" si="0"/>
        <v>347796.61016949156</v>
      </c>
      <c r="F7" s="14"/>
      <c r="G7" s="14"/>
      <c r="H7" s="14"/>
    </row>
    <row r="8" spans="1:8" x14ac:dyDescent="0.25">
      <c r="A8" s="12" t="s">
        <v>124</v>
      </c>
      <c r="B8" s="13">
        <f>'Budget Assumptions'!B15*'Budget Assumptions'!B16*'Budget Assumptions'!B17</f>
        <v>0</v>
      </c>
      <c r="C8" s="13">
        <f>'Budget Assumptions'!C15*'Budget Assumptions'!C16*'Budget Assumptions'!C17</f>
        <v>5760</v>
      </c>
      <c r="D8" s="13">
        <f>'Budget Assumptions'!D15*'Budget Assumptions'!D16*'Budget Assumptions'!D17</f>
        <v>11520</v>
      </c>
      <c r="E8" s="13">
        <f t="shared" si="0"/>
        <v>17280</v>
      </c>
      <c r="F8" s="14"/>
      <c r="G8" s="14"/>
      <c r="H8" s="14"/>
    </row>
    <row r="9" spans="1:8" x14ac:dyDescent="0.25">
      <c r="A9" s="12" t="s">
        <v>125</v>
      </c>
      <c r="B9" s="13">
        <f>'Budget Assumptions'!B9*'Budget Assumptions'!B10*(1-'Budget Assumptions'!B37)</f>
        <v>108000</v>
      </c>
      <c r="C9" s="13">
        <f>'Budget Assumptions'!C9*'Budget Assumptions'!C10*(1-'Budget Assumptions'!C37)</f>
        <v>129600</v>
      </c>
      <c r="D9" s="13">
        <f>'Budget Assumptions'!D9*'Budget Assumptions'!D10*(1-'Budget Assumptions'!D37)</f>
        <v>172800</v>
      </c>
      <c r="E9" s="13">
        <f t="shared" si="0"/>
        <v>410400</v>
      </c>
      <c r="F9" s="14"/>
      <c r="G9" s="14"/>
      <c r="H9" s="14"/>
    </row>
    <row r="10" spans="1:8" x14ac:dyDescent="0.25">
      <c r="A10" s="12" t="s">
        <v>126</v>
      </c>
      <c r="B10" s="13">
        <f>'Budget Assumptions'!B11*'Budget Assumptions'!B12</f>
        <v>69650</v>
      </c>
      <c r="C10" s="13">
        <f>'Budget Assumptions'!C11*'Budget Assumptions'!C12</f>
        <v>89550</v>
      </c>
      <c r="D10" s="13">
        <f>'Budget Assumptions'!D11*'Budget Assumptions'!D12</f>
        <v>109450</v>
      </c>
      <c r="E10" s="13">
        <f t="shared" si="0"/>
        <v>268650</v>
      </c>
      <c r="F10" s="14"/>
      <c r="G10" s="14"/>
      <c r="H10" s="14"/>
    </row>
    <row r="11" spans="1:8" x14ac:dyDescent="0.25">
      <c r="A11" s="12" t="s">
        <v>127</v>
      </c>
      <c r="B11" s="15">
        <f>'Budget Assumptions'!B14</f>
        <v>25000</v>
      </c>
      <c r="C11" s="15">
        <f>'Budget Assumptions'!C14</f>
        <v>28000</v>
      </c>
      <c r="D11" s="15">
        <f>'Budget Assumptions'!D14</f>
        <v>32000</v>
      </c>
      <c r="E11" s="13">
        <f t="shared" si="0"/>
        <v>85000</v>
      </c>
      <c r="F11" s="14"/>
      <c r="G11" s="14"/>
      <c r="H11" s="14"/>
    </row>
    <row r="12" spans="1:8" x14ac:dyDescent="0.25">
      <c r="A12" s="16" t="s">
        <v>128</v>
      </c>
      <c r="B12" s="17">
        <f>SUM(B7:B11)</f>
        <v>306760.16949152545</v>
      </c>
      <c r="C12" s="17">
        <f>SUM(C7:C11)</f>
        <v>362740.50847457629</v>
      </c>
      <c r="D12" s="17">
        <f>SUM(D7:D11)</f>
        <v>459625.93220338982</v>
      </c>
      <c r="E12" s="17">
        <f t="shared" si="0"/>
        <v>1129126.6101694917</v>
      </c>
      <c r="F12" s="18">
        <f>IF(B12=0,"-",B12/B12)</f>
        <v>1</v>
      </c>
      <c r="G12" s="18">
        <f>IF(C12=0,"-",C12/C12)</f>
        <v>1</v>
      </c>
      <c r="H12" s="18">
        <f>IF(D12=0,"-",D12/D12)</f>
        <v>1</v>
      </c>
    </row>
    <row r="13" spans="1:8" ht="6" customHeight="1" x14ac:dyDescent="0.25">
      <c r="A13" s="14"/>
      <c r="B13" s="14"/>
      <c r="C13" s="14"/>
      <c r="D13" s="14"/>
      <c r="E13" s="14"/>
      <c r="F13" s="14"/>
      <c r="G13" s="14"/>
      <c r="H13" s="14"/>
    </row>
    <row r="14" spans="1:8" ht="18" customHeight="1" x14ac:dyDescent="0.25">
      <c r="A14" s="111" t="s">
        <v>129</v>
      </c>
      <c r="B14" s="111"/>
      <c r="C14" s="111"/>
      <c r="D14" s="111"/>
      <c r="E14" s="111"/>
      <c r="F14" s="111"/>
      <c r="G14" s="111"/>
      <c r="H14" s="111"/>
    </row>
    <row r="15" spans="1:8" x14ac:dyDescent="0.25">
      <c r="A15" s="19" t="s">
        <v>130</v>
      </c>
      <c r="B15" s="20">
        <f>B5*'Budget Assumptions'!B19</f>
        <v>273000</v>
      </c>
      <c r="C15" s="20">
        <f>C5*'Budget Assumptions'!C19</f>
        <v>288000</v>
      </c>
      <c r="D15" s="20">
        <f>D5*'Budget Assumptions'!D19</f>
        <v>351000</v>
      </c>
      <c r="E15" s="20">
        <f>B15+C15+D15</f>
        <v>912000</v>
      </c>
      <c r="F15" s="21">
        <f>IF(B12=0,"-",B15/B12)</f>
        <v>0.88994604629575902</v>
      </c>
      <c r="G15" s="21">
        <f>IF(C12=0,"-",C15/C12)</f>
        <v>0.79395599132591865</v>
      </c>
      <c r="H15" s="21">
        <f>IF(D12=0,"-",D15/D12)</f>
        <v>0.76366448324042435</v>
      </c>
    </row>
    <row r="16" spans="1:8" x14ac:dyDescent="0.25">
      <c r="A16" s="19" t="s">
        <v>131</v>
      </c>
      <c r="B16" s="20">
        <f>B5*'Budget Assumptions'!B20</f>
        <v>16380</v>
      </c>
      <c r="C16" s="20">
        <f>C5*'Budget Assumptions'!C20</f>
        <v>17280</v>
      </c>
      <c r="D16" s="20">
        <f>D5*'Budget Assumptions'!D20</f>
        <v>21060</v>
      </c>
      <c r="E16" s="20">
        <f>B16+C16+D16</f>
        <v>54720</v>
      </c>
      <c r="F16" s="21">
        <f>IF(B12=0,"-",B16/B12)</f>
        <v>5.3396762777745542E-2</v>
      </c>
      <c r="G16" s="21">
        <f>IF(C12=0,"-",C16/C12)</f>
        <v>4.7637359479555115E-2</v>
      </c>
      <c r="H16" s="21">
        <f>IF(D12=0,"-",D16/D12)</f>
        <v>4.5819868994425458E-2</v>
      </c>
    </row>
    <row r="17" spans="1:8" x14ac:dyDescent="0.25">
      <c r="A17" s="19" t="s">
        <v>132</v>
      </c>
      <c r="B17" s="22">
        <f>'Budget Assumptions'!B22*'Budget Assumptions'!B21</f>
        <v>35000</v>
      </c>
      <c r="C17" s="22">
        <f>'Budget Assumptions'!C22*'Budget Assumptions'!C21</f>
        <v>42500</v>
      </c>
      <c r="D17" s="22">
        <f>'Budget Assumptions'!D22*'Budget Assumptions'!D21</f>
        <v>50000</v>
      </c>
      <c r="E17" s="20">
        <f>B17+C17+D17</f>
        <v>127500</v>
      </c>
      <c r="F17" s="21">
        <f>IF(B12=0,"-",B17/B12)</f>
        <v>0.11409564696099475</v>
      </c>
      <c r="G17" s="21">
        <f>IF(C12=0,"-",C17/C12)</f>
        <v>0.11716364455330397</v>
      </c>
      <c r="H17" s="21">
        <f>IF(D12=0,"-",D17/D12)</f>
        <v>0.10878411442171287</v>
      </c>
    </row>
    <row r="18" spans="1:8" x14ac:dyDescent="0.25">
      <c r="A18" s="23" t="s">
        <v>133</v>
      </c>
      <c r="B18" s="24">
        <f>SUM(B15:B17)</f>
        <v>324380</v>
      </c>
      <c r="C18" s="24">
        <f>SUM(C15:C17)</f>
        <v>347780</v>
      </c>
      <c r="D18" s="24">
        <f>SUM(D15:D17)</f>
        <v>422060</v>
      </c>
      <c r="E18" s="24">
        <f>B18+C18+D18</f>
        <v>1094220</v>
      </c>
      <c r="F18" s="25">
        <f>IF(B12=0,"-",B18/B12)</f>
        <v>1.0574384560344994</v>
      </c>
      <c r="G18" s="25">
        <f>IF(C12=0,"-",C18/C12)</f>
        <v>0.95875699535877767</v>
      </c>
      <c r="H18" s="25">
        <f>IF(D12=0,"-",D18/D12)</f>
        <v>0.9182684666565627</v>
      </c>
    </row>
    <row r="19" spans="1:8" ht="6" customHeight="1" x14ac:dyDescent="0.25">
      <c r="A19" s="14"/>
      <c r="B19" s="14"/>
      <c r="C19" s="14"/>
      <c r="D19" s="14"/>
      <c r="E19" s="14"/>
      <c r="F19" s="14"/>
      <c r="G19" s="14"/>
      <c r="H19" s="14"/>
    </row>
    <row r="20" spans="1:8" ht="24" customHeight="1" x14ac:dyDescent="0.25">
      <c r="A20" s="26" t="s">
        <v>134</v>
      </c>
      <c r="B20" s="27">
        <f>B12-B18</f>
        <v>-17619.830508474552</v>
      </c>
      <c r="C20" s="27">
        <f>C12-C18</f>
        <v>14960.508474576287</v>
      </c>
      <c r="D20" s="27">
        <f>D12-D18</f>
        <v>37565.932203389821</v>
      </c>
      <c r="E20" s="27">
        <f>B20+C20+D20</f>
        <v>34906.610169491556</v>
      </c>
      <c r="F20" s="28">
        <f>IF(B12=0,"-",B20/B12)</f>
        <v>-5.7438456034499347E-2</v>
      </c>
      <c r="G20" s="28">
        <f>IF(C12=0,"-",C20/C12)</f>
        <v>4.1243004641222297E-2</v>
      </c>
      <c r="H20" s="28">
        <f>IF(D12=0,"-",D20/D12)</f>
        <v>8.1731533343437329E-2</v>
      </c>
    </row>
    <row r="21" spans="1:8" ht="6" customHeight="1" x14ac:dyDescent="0.25">
      <c r="A21" s="14"/>
      <c r="B21" s="14"/>
      <c r="C21" s="14"/>
      <c r="D21" s="14"/>
      <c r="E21" s="14"/>
      <c r="F21" s="14"/>
      <c r="G21" s="14"/>
      <c r="H21" s="14"/>
    </row>
    <row r="22" spans="1:8" ht="18" customHeight="1" x14ac:dyDescent="0.25">
      <c r="A22" s="111" t="s">
        <v>135</v>
      </c>
      <c r="B22" s="111"/>
      <c r="C22" s="111"/>
      <c r="D22" s="111"/>
      <c r="E22" s="111"/>
      <c r="F22" s="111"/>
      <c r="G22" s="111"/>
      <c r="H22" s="111"/>
    </row>
    <row r="23" spans="1:8" x14ac:dyDescent="0.25">
      <c r="A23" s="12" t="s">
        <v>136</v>
      </c>
      <c r="B23" s="15">
        <f>'Budget Assumptions'!B24</f>
        <v>120000</v>
      </c>
      <c r="C23" s="15">
        <f>'Budget Assumptions'!C24</f>
        <v>120000</v>
      </c>
      <c r="D23" s="15">
        <f>'Budget Assumptions'!D24</f>
        <v>120000</v>
      </c>
      <c r="E23" s="13">
        <f t="shared" ref="E23:E34" si="1">B23+C23+D23</f>
        <v>360000</v>
      </c>
      <c r="F23" s="29">
        <f>IF(B12=0,"-",B23/B12)</f>
        <v>0.39118507529483915</v>
      </c>
      <c r="G23" s="29">
        <f>IF(C12=0,"-",C23/C12)</f>
        <v>0.33081499638579942</v>
      </c>
      <c r="H23" s="29">
        <f>IF(D12=0,"-",D23/D12)</f>
        <v>0.26108187461211091</v>
      </c>
    </row>
    <row r="24" spans="1:8" x14ac:dyDescent="0.25">
      <c r="A24" s="12" t="s">
        <v>137</v>
      </c>
      <c r="B24" s="15">
        <f>'Budget Assumptions'!B25</f>
        <v>80000</v>
      </c>
      <c r="C24" s="15">
        <f>'Budget Assumptions'!C25</f>
        <v>80000</v>
      </c>
      <c r="D24" s="15">
        <f>'Budget Assumptions'!D25</f>
        <v>80000</v>
      </c>
      <c r="E24" s="13">
        <f t="shared" si="1"/>
        <v>240000</v>
      </c>
      <c r="F24" s="29">
        <f>IF(B12=0,"-",B24/B12)</f>
        <v>0.26079005019655943</v>
      </c>
      <c r="G24" s="29">
        <f>IF(C12=0,"-",C24/C12)</f>
        <v>0.22054333092386627</v>
      </c>
      <c r="H24" s="29">
        <f>IF(D12=0,"-",D24/D12)</f>
        <v>0.17405458307474059</v>
      </c>
    </row>
    <row r="25" spans="1:8" x14ac:dyDescent="0.25">
      <c r="A25" s="12" t="s">
        <v>138</v>
      </c>
      <c r="B25" s="15">
        <f>'Budget Assumptions'!B26</f>
        <v>60000</v>
      </c>
      <c r="C25" s="15">
        <f>'Budget Assumptions'!C26</f>
        <v>60000</v>
      </c>
      <c r="D25" s="15">
        <f>'Budget Assumptions'!D26</f>
        <v>60000</v>
      </c>
      <c r="E25" s="13">
        <f t="shared" si="1"/>
        <v>180000</v>
      </c>
      <c r="F25" s="29">
        <f>IF(B12=0,"-",B25/B12)</f>
        <v>0.19559253764741957</v>
      </c>
      <c r="G25" s="29">
        <f>IF(C12=0,"-",C25/C12)</f>
        <v>0.16540749819289971</v>
      </c>
      <c r="H25" s="29">
        <f>IF(D12=0,"-",D25/D12)</f>
        <v>0.13054093730605545</v>
      </c>
    </row>
    <row r="26" spans="1:8" x14ac:dyDescent="0.25">
      <c r="A26" s="12" t="s">
        <v>139</v>
      </c>
      <c r="B26" s="15">
        <f>'Budget Assumptions'!B27</f>
        <v>30000</v>
      </c>
      <c r="C26" s="15">
        <f>'Budget Assumptions'!C27</f>
        <v>30000</v>
      </c>
      <c r="D26" s="15">
        <f>'Budget Assumptions'!D27</f>
        <v>30000</v>
      </c>
      <c r="E26" s="13">
        <f t="shared" si="1"/>
        <v>90000</v>
      </c>
      <c r="F26" s="29">
        <f>IF(B12=0,"-",B26/B12)</f>
        <v>9.7796268823709787E-2</v>
      </c>
      <c r="G26" s="29">
        <f>IF(C12=0,"-",C26/C12)</f>
        <v>8.2703749096449855E-2</v>
      </c>
      <c r="H26" s="29">
        <f>IF(D12=0,"-",D26/D12)</f>
        <v>6.5270468653027727E-2</v>
      </c>
    </row>
    <row r="27" spans="1:8" x14ac:dyDescent="0.25">
      <c r="A27" s="12" t="s">
        <v>140</v>
      </c>
      <c r="B27" s="15">
        <f>'Budget Assumptions'!B28</f>
        <v>25000</v>
      </c>
      <c r="C27" s="15">
        <f>'Budget Assumptions'!C28</f>
        <v>25000</v>
      </c>
      <c r="D27" s="15">
        <f>'Budget Assumptions'!D28</f>
        <v>25000</v>
      </c>
      <c r="E27" s="13">
        <f t="shared" si="1"/>
        <v>75000</v>
      </c>
      <c r="F27" s="29">
        <f>IF(B12=0,"-",B27/B12)</f>
        <v>8.1496890686424822E-2</v>
      </c>
      <c r="G27" s="29">
        <f>IF(C12=0,"-",C27/C12)</f>
        <v>6.8919790913708215E-2</v>
      </c>
      <c r="H27" s="29">
        <f>IF(D12=0,"-",D27/D12)</f>
        <v>5.4392057210856437E-2</v>
      </c>
    </row>
    <row r="28" spans="1:8" x14ac:dyDescent="0.25">
      <c r="A28" s="12" t="s">
        <v>141</v>
      </c>
      <c r="B28" s="15">
        <f>'Budget Assumptions'!B29</f>
        <v>70000</v>
      </c>
      <c r="C28" s="15">
        <f>'Budget Assumptions'!C29</f>
        <v>75000</v>
      </c>
      <c r="D28" s="15">
        <f>'Budget Assumptions'!D29</f>
        <v>80000</v>
      </c>
      <c r="E28" s="13">
        <f t="shared" si="1"/>
        <v>225000</v>
      </c>
      <c r="F28" s="29">
        <f>IF(B12=0,"-",B28/B12)</f>
        <v>0.2281912939219895</v>
      </c>
      <c r="G28" s="29">
        <f>IF(C12=0,"-",C28/C12)</f>
        <v>0.20675937274112463</v>
      </c>
      <c r="H28" s="29">
        <f>IF(D12=0,"-",D28/D12)</f>
        <v>0.17405458307474059</v>
      </c>
    </row>
    <row r="29" spans="1:8" x14ac:dyDescent="0.25">
      <c r="A29" s="12" t="s">
        <v>142</v>
      </c>
      <c r="B29" s="15">
        <f>'Budget Assumptions'!B30</f>
        <v>10000</v>
      </c>
      <c r="C29" s="15">
        <f>'Budget Assumptions'!C30</f>
        <v>12000</v>
      </c>
      <c r="D29" s="15">
        <f>'Budget Assumptions'!D30</f>
        <v>15000</v>
      </c>
      <c r="E29" s="13">
        <f t="shared" si="1"/>
        <v>37000</v>
      </c>
      <c r="F29" s="29">
        <f>IF(B12=0,"-",B29/B12)</f>
        <v>3.2598756274569929E-2</v>
      </c>
      <c r="G29" s="29">
        <f>IF(C12=0,"-",C29/C12)</f>
        <v>3.3081499638579939E-2</v>
      </c>
      <c r="H29" s="29">
        <f>IF(D12=0,"-",D29/D12)</f>
        <v>3.2635234326513864E-2</v>
      </c>
    </row>
    <row r="30" spans="1:8" x14ac:dyDescent="0.25">
      <c r="A30" s="12" t="s">
        <v>143</v>
      </c>
      <c r="B30" s="15">
        <f>'Budget Assumptions'!B31</f>
        <v>18000</v>
      </c>
      <c r="C30" s="15">
        <f>'Budget Assumptions'!C31</f>
        <v>18000</v>
      </c>
      <c r="D30" s="15">
        <f>'Budget Assumptions'!D31</f>
        <v>18000</v>
      </c>
      <c r="E30" s="13">
        <f t="shared" si="1"/>
        <v>54000</v>
      </c>
      <c r="F30" s="29">
        <f>IF(B12=0,"-",B30/B12)</f>
        <v>5.8677761294225875E-2</v>
      </c>
      <c r="G30" s="29">
        <f>IF(C12=0,"-",C30/C12)</f>
        <v>4.9622249457869916E-2</v>
      </c>
      <c r="H30" s="29">
        <f>IF(D12=0,"-",D30/D12)</f>
        <v>3.9162281191816632E-2</v>
      </c>
    </row>
    <row r="31" spans="1:8" x14ac:dyDescent="0.25">
      <c r="A31" s="12" t="s">
        <v>144</v>
      </c>
      <c r="B31" s="15">
        <f>'Budget Assumptions'!B32</f>
        <v>15000</v>
      </c>
      <c r="C31" s="15">
        <f>'Budget Assumptions'!C32</f>
        <v>15000</v>
      </c>
      <c r="D31" s="15">
        <f>'Budget Assumptions'!D32</f>
        <v>15000</v>
      </c>
      <c r="E31" s="13">
        <f t="shared" si="1"/>
        <v>45000</v>
      </c>
      <c r="F31" s="29">
        <f>IF(B12=0,"-",B31/B12)</f>
        <v>4.8898134411854893E-2</v>
      </c>
      <c r="G31" s="29">
        <f>IF(C12=0,"-",C31/C12)</f>
        <v>4.1351874548224928E-2</v>
      </c>
      <c r="H31" s="29">
        <f>IF(D12=0,"-",D31/D12)</f>
        <v>3.2635234326513864E-2</v>
      </c>
    </row>
    <row r="32" spans="1:8" x14ac:dyDescent="0.25">
      <c r="A32" s="12" t="s">
        <v>145</v>
      </c>
      <c r="B32" s="15">
        <f>'Budget Assumptions'!B33</f>
        <v>8000</v>
      </c>
      <c r="C32" s="15">
        <f>'Budget Assumptions'!C33</f>
        <v>8000</v>
      </c>
      <c r="D32" s="15">
        <f>'Budget Assumptions'!D33</f>
        <v>8000</v>
      </c>
      <c r="E32" s="13">
        <f t="shared" si="1"/>
        <v>24000</v>
      </c>
      <c r="F32" s="29">
        <f>IF(B12=0,"-",B32/B12)</f>
        <v>2.6079005019655942E-2</v>
      </c>
      <c r="G32" s="29">
        <f>IF(C12=0,"-",C32/C12)</f>
        <v>2.2054333092386628E-2</v>
      </c>
      <c r="H32" s="29">
        <f>IF(D12=0,"-",D32/D12)</f>
        <v>1.7405458307474059E-2</v>
      </c>
    </row>
    <row r="33" spans="1:8" x14ac:dyDescent="0.25">
      <c r="A33" s="12" t="s">
        <v>146</v>
      </c>
      <c r="B33" s="15">
        <f>'Budget Assumptions'!B34</f>
        <v>5000</v>
      </c>
      <c r="C33" s="15">
        <f>'Budget Assumptions'!C34</f>
        <v>5000</v>
      </c>
      <c r="D33" s="15">
        <f>'Budget Assumptions'!D34</f>
        <v>5000</v>
      </c>
      <c r="E33" s="13">
        <f t="shared" si="1"/>
        <v>15000</v>
      </c>
      <c r="F33" s="29">
        <f>IF(B12=0,"-",B33/B12)</f>
        <v>1.6299378137284964E-2</v>
      </c>
      <c r="G33" s="29">
        <f>IF(C12=0,"-",C33/C12)</f>
        <v>1.3783958182741642E-2</v>
      </c>
      <c r="H33" s="29">
        <f>IF(D12=0,"-",D33/D12)</f>
        <v>1.0878411442171287E-2</v>
      </c>
    </row>
    <row r="34" spans="1:8" x14ac:dyDescent="0.25">
      <c r="A34" s="16" t="s">
        <v>147</v>
      </c>
      <c r="B34" s="17">
        <f>SUM(B23:B33)</f>
        <v>441000</v>
      </c>
      <c r="C34" s="17">
        <f>SUM(C23:C33)</f>
        <v>448000</v>
      </c>
      <c r="D34" s="17">
        <f>SUM(D23:D33)</f>
        <v>456000</v>
      </c>
      <c r="E34" s="17">
        <f t="shared" si="1"/>
        <v>1345000</v>
      </c>
      <c r="F34" s="18">
        <f>IF(B12=0,"-",B34/B12)</f>
        <v>1.4376051517085338</v>
      </c>
      <c r="G34" s="18">
        <f>IF(C12=0,"-",C34/C12)</f>
        <v>1.2350426531736511</v>
      </c>
      <c r="H34" s="18">
        <f>IF(D12=0,"-",D34/D12)</f>
        <v>0.99211112352602138</v>
      </c>
    </row>
    <row r="35" spans="1:8" ht="6" customHeight="1" x14ac:dyDescent="0.25">
      <c r="A35" s="14"/>
      <c r="B35" s="14"/>
      <c r="C35" s="14"/>
      <c r="D35" s="14"/>
      <c r="E35" s="14"/>
      <c r="F35" s="14"/>
      <c r="G35" s="14"/>
      <c r="H35" s="14"/>
    </row>
    <row r="36" spans="1:8" ht="24" customHeight="1" x14ac:dyDescent="0.25">
      <c r="A36" s="30" t="s">
        <v>148</v>
      </c>
      <c r="B36" s="31">
        <f>B20-B34</f>
        <v>-458619.83050847455</v>
      </c>
      <c r="C36" s="31">
        <f>C20-C34</f>
        <v>-433039.49152542371</v>
      </c>
      <c r="D36" s="31">
        <f>D20-D34</f>
        <v>-418434.06779661018</v>
      </c>
      <c r="E36" s="31">
        <f>B36+C36+D36</f>
        <v>-1310093.3898305083</v>
      </c>
      <c r="F36" s="32">
        <f>IF(B12=0,"-",B36/B12)</f>
        <v>-1.4950436077430331</v>
      </c>
      <c r="G36" s="32">
        <f>IF(C12=0,"-",C36/C12)</f>
        <v>-1.1937996485324289</v>
      </c>
      <c r="H36" s="32">
        <f>IF(D12=0,"-",D36/D12)</f>
        <v>-0.91037959018258408</v>
      </c>
    </row>
    <row r="37" spans="1:8" ht="6" customHeight="1" x14ac:dyDescent="0.25">
      <c r="A37" s="14"/>
      <c r="B37" s="14"/>
      <c r="C37" s="14"/>
      <c r="D37" s="14"/>
      <c r="E37" s="14"/>
      <c r="F37" s="14"/>
      <c r="G37" s="14"/>
      <c r="H37" s="14"/>
    </row>
    <row r="38" spans="1:8" ht="18" customHeight="1" x14ac:dyDescent="0.25">
      <c r="A38" s="111" t="s">
        <v>149</v>
      </c>
      <c r="B38" s="111"/>
      <c r="C38" s="111"/>
      <c r="D38" s="111"/>
      <c r="E38" s="111"/>
      <c r="F38" s="111"/>
      <c r="G38" s="111"/>
      <c r="H38" s="111"/>
    </row>
    <row r="39" spans="1:8" x14ac:dyDescent="0.25">
      <c r="A39" s="12" t="s">
        <v>150</v>
      </c>
      <c r="B39" s="15">
        <f>'Budget Assumptions'!B39</f>
        <v>3500</v>
      </c>
      <c r="C39" s="15">
        <f>'Budget Assumptions'!C39</f>
        <v>3500</v>
      </c>
      <c r="D39" s="15">
        <f>'Budget Assumptions'!D39</f>
        <v>3500</v>
      </c>
      <c r="E39" s="13">
        <f>B39+C39+D39</f>
        <v>10500</v>
      </c>
      <c r="F39" s="29">
        <f>IF(B12=0,"-",B39/B12)</f>
        <v>1.1409564696099475E-2</v>
      </c>
      <c r="G39" s="29">
        <f>IF(C12=0,"-",C39/C12)</f>
        <v>9.6487707279191495E-3</v>
      </c>
      <c r="H39" s="29">
        <f>IF(D12=0,"-",D39/D12)</f>
        <v>7.6148880095199007E-3</v>
      </c>
    </row>
    <row r="40" spans="1:8" x14ac:dyDescent="0.25">
      <c r="A40" s="12" t="s">
        <v>151</v>
      </c>
      <c r="B40" s="15">
        <f>'Budget Assumptions'!B38</f>
        <v>12500</v>
      </c>
      <c r="C40" s="15">
        <f>'Budget Assumptions'!C38</f>
        <v>12500</v>
      </c>
      <c r="D40" s="15">
        <f>'Budget Assumptions'!D38</f>
        <v>12500</v>
      </c>
      <c r="E40" s="13">
        <f>B40+C40+D40</f>
        <v>37500</v>
      </c>
      <c r="F40" s="29">
        <f>IF(B12=0,"-",B40/B12)</f>
        <v>4.0748445343212411E-2</v>
      </c>
      <c r="G40" s="29">
        <f>IF(C12=0,"-",C40/C12)</f>
        <v>3.4459895456854107E-2</v>
      </c>
      <c r="H40" s="29">
        <f>IF(D12=0,"-",D40/D12)</f>
        <v>2.7196028605428219E-2</v>
      </c>
    </row>
    <row r="41" spans="1:8" x14ac:dyDescent="0.25">
      <c r="A41" s="33" t="s">
        <v>152</v>
      </c>
      <c r="B41" s="34">
        <f>SUM(B39:B40)</f>
        <v>16000</v>
      </c>
      <c r="C41" s="34">
        <f>SUM(C39:C40)</f>
        <v>16000</v>
      </c>
      <c r="D41" s="34">
        <f>SUM(D39:D40)</f>
        <v>16000</v>
      </c>
      <c r="E41" s="34">
        <f>B41+C41+D41</f>
        <v>48000</v>
      </c>
      <c r="F41" s="35">
        <f>IF(B12=0,"-",B41/B12)</f>
        <v>5.2158010039311885E-2</v>
      </c>
      <c r="G41" s="35">
        <f>IF(C12=0,"-",C41/C12)</f>
        <v>4.4108666184773257E-2</v>
      </c>
      <c r="H41" s="35">
        <f>IF(D12=0,"-",D41/D12)</f>
        <v>3.4810916614948118E-2</v>
      </c>
    </row>
    <row r="42" spans="1:8" ht="6" customHeight="1" x14ac:dyDescent="0.25">
      <c r="A42" s="14"/>
      <c r="B42" s="14"/>
      <c r="C42" s="14"/>
      <c r="D42" s="14"/>
      <c r="E42" s="14"/>
      <c r="F42" s="14"/>
      <c r="G42" s="14"/>
      <c r="H42" s="14"/>
    </row>
    <row r="43" spans="1:8" ht="21.75" customHeight="1" x14ac:dyDescent="0.25">
      <c r="A43" s="36" t="s">
        <v>153</v>
      </c>
      <c r="B43" s="37">
        <f>B36-B41</f>
        <v>-474619.83050847455</v>
      </c>
      <c r="C43" s="37">
        <f>C36-C41</f>
        <v>-449039.49152542371</v>
      </c>
      <c r="D43" s="37">
        <f>D36-D41</f>
        <v>-434434.06779661018</v>
      </c>
      <c r="E43" s="37">
        <f>B43+C43+D43</f>
        <v>-1358093.3898305083</v>
      </c>
      <c r="F43" s="38">
        <f>IF(B12=0,"-",B43/B12)</f>
        <v>-1.5472016177823451</v>
      </c>
      <c r="G43" s="38">
        <f>IF(C12=0,"-",C43/C12)</f>
        <v>-1.2379083147172021</v>
      </c>
      <c r="H43" s="38">
        <f>IF(D12=0,"-",D43/D12)</f>
        <v>-0.94519050679753214</v>
      </c>
    </row>
    <row r="44" spans="1:8" ht="6" customHeight="1" x14ac:dyDescent="0.25">
      <c r="A44" s="14"/>
      <c r="B44" s="14"/>
      <c r="C44" s="14"/>
      <c r="D44" s="14"/>
      <c r="E44" s="14"/>
      <c r="F44" s="14"/>
      <c r="G44" s="14"/>
      <c r="H44" s="14"/>
    </row>
    <row r="45" spans="1:8" x14ac:dyDescent="0.25">
      <c r="A45" s="39" t="s">
        <v>154</v>
      </c>
      <c r="B45" s="40">
        <f>0</f>
        <v>0</v>
      </c>
      <c r="C45" s="40">
        <f>0</f>
        <v>0</v>
      </c>
      <c r="D45" s="40">
        <f>0</f>
        <v>0</v>
      </c>
      <c r="E45" s="41">
        <f>B45+C45+D45</f>
        <v>0</v>
      </c>
      <c r="F45" s="42" t="s">
        <v>155</v>
      </c>
      <c r="G45" s="42" t="s">
        <v>155</v>
      </c>
      <c r="H45" s="42" t="s">
        <v>155</v>
      </c>
    </row>
    <row r="46" spans="1:8" ht="6" customHeight="1" x14ac:dyDescent="0.25">
      <c r="A46" s="14"/>
      <c r="B46" s="14"/>
      <c r="C46" s="14"/>
      <c r="D46" s="14"/>
      <c r="E46" s="14"/>
      <c r="F46" s="14"/>
      <c r="G46" s="14"/>
      <c r="H46" s="14"/>
    </row>
    <row r="47" spans="1:8" ht="24" customHeight="1" x14ac:dyDescent="0.25">
      <c r="A47" s="26" t="s">
        <v>156</v>
      </c>
      <c r="B47" s="27">
        <f>B43-B45</f>
        <v>-474619.83050847455</v>
      </c>
      <c r="C47" s="27">
        <f>C43-C45</f>
        <v>-449039.49152542371</v>
      </c>
      <c r="D47" s="27">
        <f>D43-D45</f>
        <v>-434434.06779661018</v>
      </c>
      <c r="E47" s="27">
        <f>B47+C47+D47</f>
        <v>-1358093.3898305083</v>
      </c>
      <c r="F47" s="28">
        <f>IF(B12=0,"-",B47/B12)</f>
        <v>-1.5472016177823451</v>
      </c>
      <c r="G47" s="28">
        <f>IF(C12=0,"-",C47/C12)</f>
        <v>-1.2379083147172021</v>
      </c>
      <c r="H47" s="28">
        <f>IF(D12=0,"-",D47/D12)</f>
        <v>-0.94519050679753214</v>
      </c>
    </row>
    <row r="48" spans="1:8" ht="6" customHeight="1" x14ac:dyDescent="0.25">
      <c r="A48" s="14"/>
      <c r="B48" s="14"/>
      <c r="C48" s="14"/>
      <c r="D48" s="14"/>
      <c r="E48" s="14"/>
      <c r="F48" s="14"/>
      <c r="G48" s="14"/>
      <c r="H48" s="14"/>
    </row>
    <row r="49" spans="1:8" ht="18" customHeight="1" x14ac:dyDescent="0.25">
      <c r="A49" s="111" t="s">
        <v>157</v>
      </c>
      <c r="B49" s="111"/>
      <c r="C49" s="111"/>
      <c r="D49" s="111"/>
      <c r="E49" s="111"/>
      <c r="F49" s="111"/>
      <c r="G49" s="111"/>
      <c r="H49" s="111"/>
    </row>
    <row r="50" spans="1:8" ht="15" customHeight="1" x14ac:dyDescent="0.25">
      <c r="A50" s="2" t="s">
        <v>158</v>
      </c>
      <c r="B50" s="43">
        <f>IF(B12=0,"-",B20/B12)</f>
        <v>-5.7438456034499347E-2</v>
      </c>
      <c r="C50" s="43">
        <f>IF(C12=0,"-",C20/C12)</f>
        <v>4.1243004641222297E-2</v>
      </c>
      <c r="D50" s="43">
        <f>IF(D12=0,"-",D20/D12)</f>
        <v>8.1731533343437329E-2</v>
      </c>
      <c r="E50" s="118" t="s">
        <v>159</v>
      </c>
      <c r="F50" s="118"/>
      <c r="G50" s="118"/>
      <c r="H50" s="118"/>
    </row>
    <row r="51" spans="1:8" ht="15" customHeight="1" x14ac:dyDescent="0.25">
      <c r="A51" s="2" t="s">
        <v>160</v>
      </c>
      <c r="B51" s="43">
        <f>IF(B12=0,"-",B36/B12)</f>
        <v>-1.4950436077430331</v>
      </c>
      <c r="C51" s="43">
        <f>IF(C12=0,"-",C36/C12)</f>
        <v>-1.1937996485324289</v>
      </c>
      <c r="D51" s="43">
        <f>IF(D12=0,"-",D36/D12)</f>
        <v>-0.91037959018258408</v>
      </c>
      <c r="E51" s="118" t="s">
        <v>161</v>
      </c>
      <c r="F51" s="118"/>
      <c r="G51" s="118"/>
      <c r="H51" s="118"/>
    </row>
    <row r="52" spans="1:8" ht="15" customHeight="1" x14ac:dyDescent="0.25">
      <c r="A52" s="2" t="s">
        <v>162</v>
      </c>
      <c r="B52" s="43">
        <f>IF(B12=0,"-",B47/B12)</f>
        <v>-1.5472016177823451</v>
      </c>
      <c r="C52" s="43">
        <f>IF(C12=0,"-",C47/C12)</f>
        <v>-1.2379083147172021</v>
      </c>
      <c r="D52" s="43">
        <f>IF(D12=0,"-",D47/D12)</f>
        <v>-0.94519050679753214</v>
      </c>
      <c r="E52" s="118" t="s">
        <v>163</v>
      </c>
      <c r="F52" s="118"/>
      <c r="G52" s="118"/>
      <c r="H52" s="118"/>
    </row>
    <row r="53" spans="1:8" ht="15" customHeight="1" x14ac:dyDescent="0.25">
      <c r="A53" s="2" t="s">
        <v>164</v>
      </c>
      <c r="B53" s="11">
        <f>IF(B5=0,"-",B12/B5)</f>
        <v>56.183181225554108</v>
      </c>
      <c r="C53" s="11">
        <f>IF(C5=0,"-",C12/C5)</f>
        <v>62.975782721280602</v>
      </c>
      <c r="D53" s="11">
        <f>IF(D5=0,"-",D12/D5)</f>
        <v>65.473779516152391</v>
      </c>
      <c r="E53" s="118" t="s">
        <v>165</v>
      </c>
      <c r="F53" s="118"/>
      <c r="G53" s="118"/>
      <c r="H53" s="118"/>
    </row>
    <row r="54" spans="1:8" ht="15" customHeight="1" x14ac:dyDescent="0.25">
      <c r="A54" s="2" t="s">
        <v>166</v>
      </c>
      <c r="B54" s="11">
        <f>IF(B5=0,"-",(B12-B18)/B5)</f>
        <v>-3.2270751847022989</v>
      </c>
      <c r="C54" s="11">
        <f>IF(C5=0,"-",(C12-C18)/C5)</f>
        <v>2.5973104990583833</v>
      </c>
      <c r="D54" s="11">
        <f>IF(D5=0,"-",(D12-D18)/D5)</f>
        <v>5.3512723936452735</v>
      </c>
      <c r="E54" s="118" t="s">
        <v>167</v>
      </c>
      <c r="F54" s="118"/>
      <c r="G54" s="118"/>
      <c r="H54" s="118"/>
    </row>
    <row r="55" spans="1:8" ht="15" customHeight="1" x14ac:dyDescent="0.25">
      <c r="A55" s="2" t="s">
        <v>168</v>
      </c>
      <c r="B55" s="11">
        <f>B34+B39+B40</f>
        <v>457000</v>
      </c>
      <c r="C55" s="11">
        <f>C34+C39+C40</f>
        <v>464000</v>
      </c>
      <c r="D55" s="11">
        <f>D34+D39+D40</f>
        <v>472000</v>
      </c>
      <c r="E55" s="118" t="s">
        <v>169</v>
      </c>
      <c r="F55" s="118"/>
      <c r="G55" s="118"/>
      <c r="H55" s="118"/>
    </row>
  </sheetData>
  <mergeCells count="13">
    <mergeCell ref="E53:H53"/>
    <mergeCell ref="E54:H54"/>
    <mergeCell ref="E55:H55"/>
    <mergeCell ref="A38:H38"/>
    <mergeCell ref="A49:H49"/>
    <mergeCell ref="E50:H50"/>
    <mergeCell ref="E51:H51"/>
    <mergeCell ref="E52:H52"/>
    <mergeCell ref="A1:H1"/>
    <mergeCell ref="A2:H2"/>
    <mergeCell ref="A4:H4"/>
    <mergeCell ref="A14:H14"/>
    <mergeCell ref="A22:H2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0" sqref="N10"/>
    </sheetView>
  </sheetViews>
  <sheetFormatPr defaultColWidth="8.7109375" defaultRowHeight="15" x14ac:dyDescent="0.25"/>
  <cols>
    <col min="1" max="1" width="38" customWidth="1"/>
    <col min="2" max="5" width="14" customWidth="1"/>
    <col min="6" max="9" width="12" customWidth="1"/>
    <col min="10" max="10" width="14" customWidth="1"/>
  </cols>
  <sheetData>
    <row r="1" spans="1:10" ht="43.5" customHeight="1" x14ac:dyDescent="0.25">
      <c r="A1" s="120" t="s">
        <v>189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ht="27.75" customHeight="1" x14ac:dyDescent="0.25">
      <c r="A3" s="44" t="s">
        <v>112</v>
      </c>
      <c r="B3" s="44" t="s">
        <v>170</v>
      </c>
      <c r="C3" s="44" t="s">
        <v>113</v>
      </c>
      <c r="D3" s="44" t="s">
        <v>171</v>
      </c>
      <c r="E3" s="44" t="s">
        <v>172</v>
      </c>
      <c r="F3" s="44" t="s">
        <v>173</v>
      </c>
      <c r="G3" s="44" t="s">
        <v>116</v>
      </c>
      <c r="H3" s="44" t="s">
        <v>174</v>
      </c>
      <c r="I3" s="44" t="s">
        <v>175</v>
      </c>
      <c r="J3" s="44" t="s">
        <v>176</v>
      </c>
    </row>
    <row r="4" spans="1:10" ht="31.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5" customHeight="1" x14ac:dyDescent="0.25">
      <c r="A5" s="119" t="s">
        <v>120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x14ac:dyDescent="0.25">
      <c r="A6" s="12" t="s">
        <v>177</v>
      </c>
      <c r="B6" s="74">
        <v>89237.288135593204</v>
      </c>
      <c r="C6" s="15">
        <f>'Budget P&amp;L - Q1 FY2026'!B7</f>
        <v>104110.16949152543</v>
      </c>
      <c r="D6" s="13">
        <f t="shared" ref="D6:D11" si="0">IF(OR(ISTEXT(B6),B6=0),"-",B6-C6)</f>
        <v>-14872.88135593223</v>
      </c>
      <c r="E6" s="45">
        <f t="shared" ref="E6:E11" si="1">IF(OR(ISTEXT(D6),C6=0),"-",D6/ABS(C6))</f>
        <v>-0.1428571428571431</v>
      </c>
      <c r="F6" s="74">
        <v>299809.32203389797</v>
      </c>
      <c r="G6" s="15">
        <f>'Budget P&amp;L - Q1 FY2026'!E7</f>
        <v>347796.61016949156</v>
      </c>
      <c r="H6" s="13">
        <f t="shared" ref="H6:H11" si="2">IF(OR(ISTEXT(F6),F6=0),"-",F6-G6)</f>
        <v>-47987.288135593582</v>
      </c>
      <c r="I6" s="45">
        <f t="shared" ref="I6:I11" si="3">IF(OR(ISTEXT(H6),G6=0),"-",H6/ABS(G6))</f>
        <v>-0.13797514619883144</v>
      </c>
      <c r="J6" s="46" t="s">
        <v>184</v>
      </c>
    </row>
    <row r="7" spans="1:10" x14ac:dyDescent="0.25">
      <c r="A7" s="12" t="s">
        <v>124</v>
      </c>
      <c r="B7" s="75" t="s">
        <v>185</v>
      </c>
      <c r="C7" s="15">
        <f>'Budget P&amp;L - Q1 FY2026'!B8</f>
        <v>0</v>
      </c>
      <c r="D7" s="13" t="str">
        <f t="shared" si="0"/>
        <v>-</v>
      </c>
      <c r="E7" s="45" t="str">
        <f t="shared" si="1"/>
        <v>-</v>
      </c>
      <c r="F7" s="74">
        <v>11520</v>
      </c>
      <c r="G7" s="15">
        <f>'Budget P&amp;L - Q1 FY2026'!E8</f>
        <v>17280</v>
      </c>
      <c r="H7" s="13">
        <f t="shared" si="2"/>
        <v>-5760</v>
      </c>
      <c r="I7" s="45">
        <f t="shared" si="3"/>
        <v>-0.33333333333333331</v>
      </c>
      <c r="J7" s="46" t="s">
        <v>184</v>
      </c>
    </row>
    <row r="8" spans="1:10" x14ac:dyDescent="0.25">
      <c r="A8" s="12" t="s">
        <v>178</v>
      </c>
      <c r="B8" s="74">
        <v>86400</v>
      </c>
      <c r="C8" s="15">
        <f>'Budget P&amp;L - Q1 FY2026'!B9</f>
        <v>108000</v>
      </c>
      <c r="D8" s="13">
        <f t="shared" si="0"/>
        <v>-21600</v>
      </c>
      <c r="E8" s="45">
        <f t="shared" si="1"/>
        <v>-0.2</v>
      </c>
      <c r="F8" s="74">
        <v>345600</v>
      </c>
      <c r="G8" s="15">
        <f>'Budget P&amp;L - Q1 FY2026'!E9</f>
        <v>410400</v>
      </c>
      <c r="H8" s="13">
        <f t="shared" si="2"/>
        <v>-64800</v>
      </c>
      <c r="I8" s="45">
        <f t="shared" si="3"/>
        <v>-0.15789473684210525</v>
      </c>
      <c r="J8" s="46" t="s">
        <v>184</v>
      </c>
    </row>
    <row r="9" spans="1:10" x14ac:dyDescent="0.25">
      <c r="A9" s="12" t="s">
        <v>126</v>
      </c>
      <c r="B9" s="74">
        <v>55720</v>
      </c>
      <c r="C9" s="15">
        <f>'Budget P&amp;L - Q1 FY2026'!B10</f>
        <v>69650</v>
      </c>
      <c r="D9" s="13">
        <f t="shared" si="0"/>
        <v>-13930</v>
      </c>
      <c r="E9" s="45">
        <f t="shared" si="1"/>
        <v>-0.2</v>
      </c>
      <c r="F9" s="74">
        <v>208950</v>
      </c>
      <c r="G9" s="15">
        <f>'Budget P&amp;L - Q1 FY2026'!E10</f>
        <v>268650</v>
      </c>
      <c r="H9" s="13">
        <f t="shared" si="2"/>
        <v>-59700</v>
      </c>
      <c r="I9" s="45">
        <f t="shared" si="3"/>
        <v>-0.22222222222222221</v>
      </c>
      <c r="J9" s="46" t="s">
        <v>184</v>
      </c>
    </row>
    <row r="10" spans="1:10" x14ac:dyDescent="0.25">
      <c r="A10" s="12" t="s">
        <v>127</v>
      </c>
      <c r="B10" s="74">
        <v>18000</v>
      </c>
      <c r="C10" s="15">
        <f>'Budget P&amp;L - Q1 FY2026'!B11</f>
        <v>25000</v>
      </c>
      <c r="D10" s="13">
        <f t="shared" si="0"/>
        <v>-7000</v>
      </c>
      <c r="E10" s="45">
        <f t="shared" si="1"/>
        <v>-0.28000000000000003</v>
      </c>
      <c r="F10" s="74">
        <v>60000</v>
      </c>
      <c r="G10" s="15">
        <f>'Budget P&amp;L - Q1 FY2026'!E11</f>
        <v>85000</v>
      </c>
      <c r="H10" s="13">
        <f t="shared" si="2"/>
        <v>-25000</v>
      </c>
      <c r="I10" s="45">
        <f t="shared" si="3"/>
        <v>-0.29411764705882354</v>
      </c>
      <c r="J10" s="46" t="s">
        <v>184</v>
      </c>
    </row>
    <row r="11" spans="1:10" ht="15.75" thickBot="1" x14ac:dyDescent="0.3">
      <c r="A11" s="16" t="s">
        <v>128</v>
      </c>
      <c r="B11" s="77">
        <f>SUM(B6:B10)</f>
        <v>249357.2881355932</v>
      </c>
      <c r="C11" s="48">
        <f>'Budget P&amp;L - Q1 FY2026'!B12</f>
        <v>306760.16949152545</v>
      </c>
      <c r="D11" s="49">
        <f t="shared" si="0"/>
        <v>-57402.881355932244</v>
      </c>
      <c r="E11" s="50">
        <f t="shared" si="1"/>
        <v>-0.18712625387800894</v>
      </c>
      <c r="F11" s="77">
        <f>SUM(F6:F10)</f>
        <v>925879.32203389797</v>
      </c>
      <c r="G11" s="48">
        <f>'Budget P&amp;L - Q1 FY2026'!E12</f>
        <v>1129126.6101694917</v>
      </c>
      <c r="H11" s="49">
        <f t="shared" si="2"/>
        <v>-203247.28813559376</v>
      </c>
      <c r="I11" s="50">
        <f t="shared" si="3"/>
        <v>-0.1800039838801466</v>
      </c>
      <c r="J11" s="46" t="s">
        <v>184</v>
      </c>
    </row>
    <row r="12" spans="1:10" ht="15" customHeight="1" x14ac:dyDescent="0.25">
      <c r="A12" s="119" t="s">
        <v>129</v>
      </c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x14ac:dyDescent="0.25">
      <c r="A13" s="19" t="s">
        <v>130</v>
      </c>
      <c r="B13" s="66">
        <v>234000</v>
      </c>
      <c r="C13" s="22">
        <f>'Budget P&amp;L - Q1 FY2026'!B15</f>
        <v>273000</v>
      </c>
      <c r="D13" s="20">
        <f>IF(OR(ISTEXT(B13),B13=0),"-",C13-B13)</f>
        <v>39000</v>
      </c>
      <c r="E13" s="51">
        <f>IF(OR(ISTEXT(D13),C13=0),"-",D13/ABS(C13))</f>
        <v>0.14285714285714285</v>
      </c>
      <c r="F13" s="67">
        <v>761040</v>
      </c>
      <c r="G13" s="22">
        <f>'Budget P&amp;L - Q1 FY2026'!E15</f>
        <v>912000</v>
      </c>
      <c r="H13" s="20">
        <f>IF(OR(ISTEXT(F13),F13=0),"-",G13-F13)</f>
        <v>150960</v>
      </c>
      <c r="I13" s="51">
        <f>IF(OR(ISTEXT(H13),G13=0),"-",H13/ABS(G13))</f>
        <v>0.16552631578947369</v>
      </c>
      <c r="J13" s="52" t="s">
        <v>186</v>
      </c>
    </row>
    <row r="14" spans="1:10" x14ac:dyDescent="0.25">
      <c r="A14" s="19" t="s">
        <v>131</v>
      </c>
      <c r="B14" s="68">
        <v>14040</v>
      </c>
      <c r="C14" s="22">
        <f>'Budget P&amp;L - Q1 FY2026'!B16</f>
        <v>16380</v>
      </c>
      <c r="D14" s="20">
        <f>IF(OR(ISTEXT(B14),B14=0),"-",C14-B14)</f>
        <v>2340</v>
      </c>
      <c r="E14" s="51">
        <f>IF(OR(ISTEXT(D14),C14=0),"-",D14/ABS(C14))</f>
        <v>0.14285714285714285</v>
      </c>
      <c r="F14" s="73">
        <v>46380</v>
      </c>
      <c r="G14" s="22">
        <f>'Budget P&amp;L - Q1 FY2026'!E16</f>
        <v>54720</v>
      </c>
      <c r="H14" s="20">
        <f>IF(OR(ISTEXT(F14),F14=0),"-",G14-F14)</f>
        <v>8340</v>
      </c>
      <c r="I14" s="51">
        <f>IF(OR(ISTEXT(H14),G14=0),"-",H14/ABS(G14))</f>
        <v>0.15241228070175439</v>
      </c>
      <c r="J14" s="52" t="s">
        <v>186</v>
      </c>
    </row>
    <row r="15" spans="1:10" x14ac:dyDescent="0.25">
      <c r="A15" s="19" t="s">
        <v>132</v>
      </c>
      <c r="B15" s="69">
        <v>30000</v>
      </c>
      <c r="C15" s="22">
        <f>'Budget P&amp;L - Q1 FY2026'!B17</f>
        <v>35000</v>
      </c>
      <c r="D15" s="20">
        <f>IF(OR(ISTEXT(B15),B15=0),"-",C15-B15)</f>
        <v>5000</v>
      </c>
      <c r="E15" s="51">
        <f>IF(OR(ISTEXT(D15),C15=0),"-",D15/ABS(C15))</f>
        <v>0.14285714285714285</v>
      </c>
      <c r="F15" s="72">
        <v>103500</v>
      </c>
      <c r="G15" s="22">
        <f>'Budget P&amp;L - Q1 FY2026'!E17</f>
        <v>127500</v>
      </c>
      <c r="H15" s="20">
        <f>IF(OR(ISTEXT(F15),F15=0),"-",G15-F15)</f>
        <v>24000</v>
      </c>
      <c r="I15" s="51">
        <f>IF(OR(ISTEXT(H15),G15=0),"-",H15/ABS(G15))</f>
        <v>0.18823529411764706</v>
      </c>
      <c r="J15" s="52" t="s">
        <v>186</v>
      </c>
    </row>
    <row r="16" spans="1:10" ht="19.5" customHeight="1" thickBot="1" x14ac:dyDescent="0.3">
      <c r="A16" s="23" t="s">
        <v>133</v>
      </c>
      <c r="B16" s="70">
        <v>278040</v>
      </c>
      <c r="C16" s="53">
        <f>'Budget P&amp;L - Q1 FY2026'!B18</f>
        <v>324380</v>
      </c>
      <c r="D16" s="54">
        <f>IF(OR(ISTEXT(B16),B16=0),"-",C16-B16)</f>
        <v>46340</v>
      </c>
      <c r="E16" s="55">
        <f>IF(OR(ISTEXT(D16),C16=0),"-",D16/ABS(C16))</f>
        <v>0.14285714285714285</v>
      </c>
      <c r="F16" s="71">
        <v>910920</v>
      </c>
      <c r="G16" s="53">
        <f>'Budget P&amp;L - Q1 FY2026'!E18</f>
        <v>1094220</v>
      </c>
      <c r="H16" s="54">
        <f>IF(OR(ISTEXT(F16),F16=0),"-",G16-F16)</f>
        <v>183300</v>
      </c>
      <c r="I16" s="55">
        <f>IF(OR(ISTEXT(H16),G16=0),"-",H16/ABS(G16))</f>
        <v>0.16751658715797554</v>
      </c>
      <c r="J16" s="56" t="s">
        <v>186</v>
      </c>
    </row>
    <row r="17" spans="1:10" ht="6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9.5" customHeight="1" thickBot="1" x14ac:dyDescent="0.3">
      <c r="A18" s="16" t="s">
        <v>134</v>
      </c>
      <c r="B18" s="78">
        <f>B11-B16</f>
        <v>-28682.711864406796</v>
      </c>
      <c r="C18" s="48">
        <f>'Budget P&amp;L - Q1 FY2026'!B20</f>
        <v>-17619.830508474552</v>
      </c>
      <c r="D18" s="49">
        <f>IF(OR(ISTEXT(B18),B18=0),"-",B18-C18)</f>
        <v>-11062.881355932244</v>
      </c>
      <c r="E18" s="50">
        <f>IF(OR(ISTEXT(D18),C18=0),"-",D18/ABS(C18))</f>
        <v>-0.6278653674115291</v>
      </c>
      <c r="F18" s="78">
        <f>F11-F16</f>
        <v>14959.322033897974</v>
      </c>
      <c r="G18" s="48">
        <f>'Budget P&amp;L - Q1 FY2026'!E20</f>
        <v>34906.610169491556</v>
      </c>
      <c r="H18" s="49">
        <f>IF(OR(ISTEXT(F18),F18=0),"-",F18-G18)</f>
        <v>-19947.288135593582</v>
      </c>
      <c r="I18" s="50">
        <f>IF(OR(ISTEXT(H18),G18=0),"-",H18/ABS(G18))</f>
        <v>-0.57144730005973343</v>
      </c>
      <c r="J18" s="76" t="s">
        <v>184</v>
      </c>
    </row>
    <row r="19" spans="1:10" ht="15" customHeight="1" x14ac:dyDescent="0.25">
      <c r="A19" s="119" t="s">
        <v>135</v>
      </c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10" x14ac:dyDescent="0.25">
      <c r="A20" s="12" t="s">
        <v>136</v>
      </c>
      <c r="B20" s="80">
        <v>120000</v>
      </c>
      <c r="C20" s="15">
        <f>'Budget P&amp;L - Q1 FY2026'!B23</f>
        <v>120000</v>
      </c>
      <c r="D20" s="13">
        <f t="shared" ref="D20:D31" si="4">IF(OR(ISTEXT(B20),B20=0),"-",C20-B20)</f>
        <v>0</v>
      </c>
      <c r="E20" s="45">
        <f t="shared" ref="E20:E31" si="5">IF(OR(ISTEXT(D20),C20=0),"-",D20/ABS(C20))</f>
        <v>0</v>
      </c>
      <c r="F20" s="91">
        <v>360000</v>
      </c>
      <c r="G20" s="15">
        <f>'Budget P&amp;L - Q1 FY2026'!E23</f>
        <v>360000</v>
      </c>
      <c r="H20" s="13">
        <f t="shared" ref="H20:H31" si="6">IF(OR(ISTEXT(F20),F20=0),"-",G20-F20)</f>
        <v>0</v>
      </c>
      <c r="I20" s="45">
        <f t="shared" ref="I20:I31" si="7">IF(OR(ISTEXT(H20),G20=0),"-",H20/ABS(G20))</f>
        <v>0</v>
      </c>
      <c r="J20" s="79" t="s">
        <v>186</v>
      </c>
    </row>
    <row r="21" spans="1:10" x14ac:dyDescent="0.25">
      <c r="A21" s="12" t="s">
        <v>137</v>
      </c>
      <c r="B21" s="81">
        <v>80000</v>
      </c>
      <c r="C21" s="15">
        <f>'Budget P&amp;L - Q1 FY2026'!B24</f>
        <v>80000</v>
      </c>
      <c r="D21" s="13">
        <f t="shared" si="4"/>
        <v>0</v>
      </c>
      <c r="E21" s="45">
        <f t="shared" si="5"/>
        <v>0</v>
      </c>
      <c r="F21" s="92">
        <v>240000</v>
      </c>
      <c r="G21" s="15">
        <f>'Budget P&amp;L - Q1 FY2026'!E24</f>
        <v>240000</v>
      </c>
      <c r="H21" s="13">
        <f t="shared" si="6"/>
        <v>0</v>
      </c>
      <c r="I21" s="45">
        <f t="shared" si="7"/>
        <v>0</v>
      </c>
      <c r="J21" s="79" t="s">
        <v>186</v>
      </c>
    </row>
    <row r="22" spans="1:10" x14ac:dyDescent="0.25">
      <c r="A22" s="12" t="s">
        <v>138</v>
      </c>
      <c r="B22" s="82">
        <v>60000</v>
      </c>
      <c r="C22" s="15">
        <f>'Budget P&amp;L - Q1 FY2026'!B25</f>
        <v>60000</v>
      </c>
      <c r="D22" s="13">
        <f t="shared" si="4"/>
        <v>0</v>
      </c>
      <c r="E22" s="45">
        <f t="shared" si="5"/>
        <v>0</v>
      </c>
      <c r="F22" s="93">
        <v>195000</v>
      </c>
      <c r="G22" s="15">
        <f>'Budget P&amp;L - Q1 FY2026'!E25</f>
        <v>180000</v>
      </c>
      <c r="H22" s="13">
        <f t="shared" si="6"/>
        <v>-15000</v>
      </c>
      <c r="I22" s="45">
        <f t="shared" si="7"/>
        <v>-8.3333333333333329E-2</v>
      </c>
      <c r="J22" s="79" t="s">
        <v>184</v>
      </c>
    </row>
    <row r="23" spans="1:10" x14ac:dyDescent="0.25">
      <c r="A23" s="12" t="s">
        <v>139</v>
      </c>
      <c r="B23" s="83">
        <v>35000</v>
      </c>
      <c r="C23" s="15">
        <f>'Budget P&amp;L - Q1 FY2026'!B26</f>
        <v>30000</v>
      </c>
      <c r="D23" s="13">
        <f t="shared" si="4"/>
        <v>-5000</v>
      </c>
      <c r="E23" s="45">
        <f t="shared" si="5"/>
        <v>-0.16666666666666666</v>
      </c>
      <c r="F23" s="94">
        <v>115000</v>
      </c>
      <c r="G23" s="15">
        <f>'Budget P&amp;L - Q1 FY2026'!E26</f>
        <v>90000</v>
      </c>
      <c r="H23" s="13">
        <f t="shared" si="6"/>
        <v>-25000</v>
      </c>
      <c r="I23" s="45">
        <f t="shared" si="7"/>
        <v>-0.27777777777777779</v>
      </c>
      <c r="J23" s="79" t="s">
        <v>184</v>
      </c>
    </row>
    <row r="24" spans="1:10" x14ac:dyDescent="0.25">
      <c r="A24" s="12" t="s">
        <v>179</v>
      </c>
      <c r="B24" s="84">
        <v>25000</v>
      </c>
      <c r="C24" s="15">
        <f>'Budget P&amp;L - Q1 FY2026'!B27</f>
        <v>25000</v>
      </c>
      <c r="D24" s="13">
        <f t="shared" si="4"/>
        <v>0</v>
      </c>
      <c r="E24" s="45">
        <f t="shared" si="5"/>
        <v>0</v>
      </c>
      <c r="F24" s="95">
        <v>75000</v>
      </c>
      <c r="G24" s="15">
        <f>'Budget P&amp;L - Q1 FY2026'!E27</f>
        <v>75000</v>
      </c>
      <c r="H24" s="13">
        <f t="shared" si="6"/>
        <v>0</v>
      </c>
      <c r="I24" s="45">
        <f t="shared" si="7"/>
        <v>0</v>
      </c>
      <c r="J24" s="79" t="s">
        <v>186</v>
      </c>
    </row>
    <row r="25" spans="1:10" x14ac:dyDescent="0.25">
      <c r="A25" s="12" t="s">
        <v>180</v>
      </c>
      <c r="B25" s="85">
        <v>80000</v>
      </c>
      <c r="C25" s="15">
        <f>'Budget P&amp;L - Q1 FY2026'!B28</f>
        <v>70000</v>
      </c>
      <c r="D25" s="13">
        <f t="shared" si="4"/>
        <v>-10000</v>
      </c>
      <c r="E25" s="45">
        <f t="shared" si="5"/>
        <v>-0.14285714285714285</v>
      </c>
      <c r="F25" s="96">
        <v>270000</v>
      </c>
      <c r="G25" s="15">
        <f>'Budget P&amp;L - Q1 FY2026'!E28</f>
        <v>225000</v>
      </c>
      <c r="H25" s="13">
        <f t="shared" si="6"/>
        <v>-45000</v>
      </c>
      <c r="I25" s="45">
        <f t="shared" si="7"/>
        <v>-0.2</v>
      </c>
      <c r="J25" s="79" t="s">
        <v>184</v>
      </c>
    </row>
    <row r="26" spans="1:10" x14ac:dyDescent="0.25">
      <c r="A26" s="12" t="s">
        <v>142</v>
      </c>
      <c r="B26" s="86">
        <v>15000</v>
      </c>
      <c r="C26" s="15">
        <f>'Budget P&amp;L - Q1 FY2026'!B29</f>
        <v>10000</v>
      </c>
      <c r="D26" s="13">
        <f t="shared" si="4"/>
        <v>-5000</v>
      </c>
      <c r="E26" s="45">
        <f t="shared" si="5"/>
        <v>-0.5</v>
      </c>
      <c r="F26" s="97">
        <v>60000</v>
      </c>
      <c r="G26" s="15">
        <f>'Budget P&amp;L - Q1 FY2026'!E29</f>
        <v>37000</v>
      </c>
      <c r="H26" s="13">
        <f t="shared" si="6"/>
        <v>-23000</v>
      </c>
      <c r="I26" s="45">
        <f t="shared" si="7"/>
        <v>-0.6216216216216216</v>
      </c>
      <c r="J26" s="79" t="s">
        <v>184</v>
      </c>
    </row>
    <row r="27" spans="1:10" x14ac:dyDescent="0.25">
      <c r="A27" s="12" t="s">
        <v>143</v>
      </c>
      <c r="B27" s="87">
        <v>20000</v>
      </c>
      <c r="C27" s="15">
        <f>'Budget P&amp;L - Q1 FY2026'!B30</f>
        <v>18000</v>
      </c>
      <c r="D27" s="13">
        <f t="shared" si="4"/>
        <v>-2000</v>
      </c>
      <c r="E27" s="45">
        <f t="shared" si="5"/>
        <v>-0.1111111111111111</v>
      </c>
      <c r="F27" s="98">
        <v>62000</v>
      </c>
      <c r="G27" s="15">
        <f>'Budget P&amp;L - Q1 FY2026'!E30</f>
        <v>54000</v>
      </c>
      <c r="H27" s="13">
        <f t="shared" si="6"/>
        <v>-8000</v>
      </c>
      <c r="I27" s="45">
        <f t="shared" si="7"/>
        <v>-0.14814814814814814</v>
      </c>
      <c r="J27" s="79" t="s">
        <v>184</v>
      </c>
    </row>
    <row r="28" spans="1:10" x14ac:dyDescent="0.25">
      <c r="A28" s="12" t="s">
        <v>144</v>
      </c>
      <c r="B28" s="88">
        <v>15000</v>
      </c>
      <c r="C28" s="15">
        <f>'Budget P&amp;L - Q1 FY2026'!B31</f>
        <v>15000</v>
      </c>
      <c r="D28" s="13">
        <f t="shared" si="4"/>
        <v>0</v>
      </c>
      <c r="E28" s="45">
        <f t="shared" si="5"/>
        <v>0</v>
      </c>
      <c r="F28" s="99">
        <v>45000</v>
      </c>
      <c r="G28" s="15">
        <f>'Budget P&amp;L - Q1 FY2026'!E31</f>
        <v>45000</v>
      </c>
      <c r="H28" s="13">
        <f t="shared" si="6"/>
        <v>0</v>
      </c>
      <c r="I28" s="45">
        <f t="shared" si="7"/>
        <v>0</v>
      </c>
      <c r="J28" s="79" t="s">
        <v>186</v>
      </c>
    </row>
    <row r="29" spans="1:10" x14ac:dyDescent="0.25">
      <c r="A29" s="12" t="s">
        <v>145</v>
      </c>
      <c r="B29" s="89">
        <v>8000</v>
      </c>
      <c r="C29" s="15">
        <f>'Budget P&amp;L - Q1 FY2026'!B32</f>
        <v>8000</v>
      </c>
      <c r="D29" s="13">
        <f t="shared" si="4"/>
        <v>0</v>
      </c>
      <c r="E29" s="45">
        <f t="shared" si="5"/>
        <v>0</v>
      </c>
      <c r="F29" s="100">
        <v>24000</v>
      </c>
      <c r="G29" s="15">
        <f>'Budget P&amp;L - Q1 FY2026'!E32</f>
        <v>24000</v>
      </c>
      <c r="H29" s="13">
        <f t="shared" si="6"/>
        <v>0</v>
      </c>
      <c r="I29" s="45">
        <f t="shared" si="7"/>
        <v>0</v>
      </c>
      <c r="J29" s="79" t="s">
        <v>186</v>
      </c>
    </row>
    <row r="30" spans="1:10" x14ac:dyDescent="0.25">
      <c r="A30" s="12" t="s">
        <v>146</v>
      </c>
      <c r="B30" s="90">
        <v>5000</v>
      </c>
      <c r="C30" s="15">
        <f>'Budget P&amp;L - Q1 FY2026'!B33</f>
        <v>5000</v>
      </c>
      <c r="D30" s="13">
        <f t="shared" si="4"/>
        <v>0</v>
      </c>
      <c r="E30" s="45">
        <f t="shared" si="5"/>
        <v>0</v>
      </c>
      <c r="F30" s="101">
        <v>15000</v>
      </c>
      <c r="G30" s="15">
        <f>'Budget P&amp;L - Q1 FY2026'!E33</f>
        <v>15000</v>
      </c>
      <c r="H30" s="13">
        <f t="shared" si="6"/>
        <v>0</v>
      </c>
      <c r="I30" s="45">
        <f t="shared" si="7"/>
        <v>0</v>
      </c>
      <c r="J30" s="79" t="s">
        <v>186</v>
      </c>
    </row>
    <row r="31" spans="1:10" ht="18" customHeight="1" thickBot="1" x14ac:dyDescent="0.3">
      <c r="A31" s="57" t="s">
        <v>147</v>
      </c>
      <c r="B31" s="47">
        <f>SUM(B20:B30)</f>
        <v>463000</v>
      </c>
      <c r="C31" s="48">
        <f>'Budget P&amp;L - Q1 FY2026'!B34</f>
        <v>441000</v>
      </c>
      <c r="D31" s="17">
        <f t="shared" si="4"/>
        <v>-22000</v>
      </c>
      <c r="E31" s="58">
        <f t="shared" si="5"/>
        <v>-4.9886621315192746E-2</v>
      </c>
      <c r="F31" s="47">
        <f>SUM(F20:F30)</f>
        <v>1461000</v>
      </c>
      <c r="G31" s="48">
        <f>'Budget P&amp;L - Q1 FY2026'!E34</f>
        <v>1345000</v>
      </c>
      <c r="H31" s="17">
        <f t="shared" si="6"/>
        <v>-116000</v>
      </c>
      <c r="I31" s="58">
        <f t="shared" si="7"/>
        <v>-8.6245353159851296E-2</v>
      </c>
      <c r="J31" s="76" t="s">
        <v>184</v>
      </c>
    </row>
    <row r="32" spans="1:10" ht="6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25">
      <c r="A33" s="59" t="s">
        <v>181</v>
      </c>
      <c r="B33" s="47">
        <f>B18-B31</f>
        <v>-491682.71186440683</v>
      </c>
      <c r="C33" s="31">
        <f>'Budget P&amp;L - Q1 FY2026'!B36</f>
        <v>-458619.83050847455</v>
      </c>
      <c r="D33" s="31">
        <f>IF(OR(ISTEXT(B33),B33=0),"-",B33-C33)</f>
        <v>-33062.881355932273</v>
      </c>
      <c r="E33" s="60">
        <f>IF(OR(ISTEXT(D33),C33=0),"-",D33/ABS(C33))</f>
        <v>-7.2092131993671663E-2</v>
      </c>
      <c r="F33" s="47">
        <f>F18-F31</f>
        <v>-1446040.677966102</v>
      </c>
      <c r="G33" s="31">
        <f>'Budget P&amp;L - Q1 FY2026'!E36</f>
        <v>-1310093.3898305083</v>
      </c>
      <c r="H33" s="31">
        <f>IF(OR(ISTEXT(F33),F33=0),"-",F33-G33)</f>
        <v>-135947.28813559376</v>
      </c>
      <c r="I33" s="60">
        <f>IF(OR(ISTEXT(H33),G33=0),"-",H33/ABS(G33))</f>
        <v>-0.10376915813091903</v>
      </c>
      <c r="J33" s="102" t="s">
        <v>184</v>
      </c>
    </row>
    <row r="35" spans="1:10" ht="18" customHeight="1" thickBot="1" x14ac:dyDescent="0.3">
      <c r="A35" s="61" t="s">
        <v>182</v>
      </c>
      <c r="B35" s="103">
        <v>16000</v>
      </c>
      <c r="C35" s="62">
        <f>'Budget P&amp;L - Q1 FY2026'!B41</f>
        <v>16000</v>
      </c>
      <c r="D35" s="34">
        <f>C35-B35</f>
        <v>0</v>
      </c>
      <c r="E35" s="63">
        <f>IF(OR(ISTEXT(D35),C35=0),"-",D35/ABS(C35))</f>
        <v>0</v>
      </c>
      <c r="F35" s="103">
        <v>48000</v>
      </c>
      <c r="G35" s="62">
        <f>'Budget P&amp;L - Q1 FY2026'!E41</f>
        <v>48000</v>
      </c>
      <c r="H35" s="34">
        <f>G35-F35</f>
        <v>0</v>
      </c>
      <c r="I35" s="63">
        <f>IF(OR(ISTEXT(H35),G35=0),"-",H35/ABS(G35))</f>
        <v>0</v>
      </c>
      <c r="J35" s="106" t="s">
        <v>186</v>
      </c>
    </row>
    <row r="36" spans="1:10" ht="6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21.75" customHeight="1" thickBot="1" x14ac:dyDescent="0.3">
      <c r="A37" s="64" t="s">
        <v>183</v>
      </c>
      <c r="B37" s="47">
        <f>B33-B35</f>
        <v>-507682.71186440683</v>
      </c>
      <c r="C37" s="27">
        <f>'Budget P&amp;L - Q1 FY2026'!B47</f>
        <v>-474619.83050847455</v>
      </c>
      <c r="D37" s="27">
        <f>IF(OR(ISTEXT(B37),B37=0),"-",B37-C37)</f>
        <v>-33062.881355932273</v>
      </c>
      <c r="E37" s="65">
        <f>IF(OR(ISTEXT(D37),C37=0),"-",D37/ABS(C37))</f>
        <v>-6.966182032577739E-2</v>
      </c>
      <c r="F37" s="47">
        <f>F33-F35</f>
        <v>-1494040.677966102</v>
      </c>
      <c r="G37" s="27">
        <f>'Budget P&amp;L - Q1 FY2026'!E47</f>
        <v>-1358093.3898305083</v>
      </c>
      <c r="H37" s="27">
        <f>IF(OR(ISTEXT(F37),F37=0),"-",F37-G37)</f>
        <v>-135947.28813559376</v>
      </c>
      <c r="I37" s="65">
        <f>IF(OR(ISTEXT(H37),G37=0),"-",H37/ABS(G37))</f>
        <v>-0.10010157560118907</v>
      </c>
      <c r="J37" s="105" t="s">
        <v>184</v>
      </c>
    </row>
  </sheetData>
  <mergeCells count="6">
    <mergeCell ref="A19:J19"/>
    <mergeCell ref="A1:J1"/>
    <mergeCell ref="A2:J2"/>
    <mergeCell ref="A4:J4"/>
    <mergeCell ref="A5:J5"/>
    <mergeCell ref="A12:J12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Assumptions</vt:lpstr>
      <vt:lpstr>Budget P&amp;L - Q1 FY2026</vt:lpstr>
      <vt:lpstr>AvsB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AKM</cp:lastModifiedBy>
  <cp:revision>0</cp:revision>
  <dcterms:created xsi:type="dcterms:W3CDTF">2026-03-17T14:58:27Z</dcterms:created>
  <dcterms:modified xsi:type="dcterms:W3CDTF">2026-03-18T15:09:56Z</dcterms:modified>
  <dc:language>en-US</dc:language>
</cp:coreProperties>
</file>