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ocuments\GitHub\inakm.github.io\myprojects\GatiGo\BvsA\"/>
    </mc:Choice>
  </mc:AlternateContent>
  <bookViews>
    <workbookView xWindow="0" yWindow="450" windowWidth="28800" windowHeight="13860" tabRatio="500"/>
  </bookViews>
  <sheets>
    <sheet name="📊 KPI Dashboard" sheetId="1" r:id="rId1"/>
    <sheet name="📋 Variance Analysis" sheetId="2" r:id="rId2"/>
    <sheet name="Budget P&amp;L" sheetId="4" r:id="rId3"/>
    <sheet name="Actual P&amp;L" sheetId="3" r:id="rId4"/>
    <sheet name="Assumptions (Actual)" sheetId="5" r:id="rId5"/>
    <sheet name="Assumptions (Budget)" sheetId="6" r:id="rId6"/>
    <sheet name="ℹ️ About" sheetId="7" r:id="rId7"/>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35" i="4" l="1"/>
  <c r="B35" i="4"/>
  <c r="D34" i="4"/>
  <c r="D35" i="4" s="1"/>
  <c r="H35" i="4" s="1"/>
  <c r="C34" i="4"/>
  <c r="B34" i="4"/>
  <c r="E33" i="4"/>
  <c r="D33" i="4"/>
  <c r="C33" i="4"/>
  <c r="B33" i="4"/>
  <c r="E29" i="4"/>
  <c r="D29" i="4"/>
  <c r="C29" i="4"/>
  <c r="B29" i="4"/>
  <c r="D28" i="4"/>
  <c r="H28" i="4" s="1"/>
  <c r="C28" i="4"/>
  <c r="B28" i="4"/>
  <c r="D27" i="4"/>
  <c r="H27" i="4" s="1"/>
  <c r="C27" i="4"/>
  <c r="E27" i="4" s="1"/>
  <c r="B27" i="4"/>
  <c r="D26" i="4"/>
  <c r="C26" i="4"/>
  <c r="B26" i="4"/>
  <c r="D25" i="4"/>
  <c r="C25" i="4"/>
  <c r="B25" i="4"/>
  <c r="H24" i="4"/>
  <c r="E24" i="4"/>
  <c r="D24" i="4"/>
  <c r="C24" i="4"/>
  <c r="B24" i="4"/>
  <c r="E23" i="4"/>
  <c r="D23" i="4"/>
  <c r="C23" i="4"/>
  <c r="B23" i="4"/>
  <c r="E22" i="4"/>
  <c r="D22" i="4"/>
  <c r="C22" i="4"/>
  <c r="B22" i="4"/>
  <c r="E21" i="4"/>
  <c r="C15" i="2" s="1"/>
  <c r="D15" i="2" s="1"/>
  <c r="E15" i="2" s="1"/>
  <c r="D21" i="4"/>
  <c r="C21" i="4"/>
  <c r="B21" i="4"/>
  <c r="D20" i="4"/>
  <c r="H20" i="4" s="1"/>
  <c r="C20" i="4"/>
  <c r="B20" i="4"/>
  <c r="D19" i="4"/>
  <c r="D30" i="4" s="1"/>
  <c r="H30" i="4" s="1"/>
  <c r="C19" i="4"/>
  <c r="C30" i="4" s="1"/>
  <c r="G30" i="4" s="1"/>
  <c r="B19" i="4"/>
  <c r="H15" i="4"/>
  <c r="E15" i="4"/>
  <c r="D15" i="4"/>
  <c r="C15" i="4"/>
  <c r="B15" i="4"/>
  <c r="D14" i="4"/>
  <c r="D13" i="4"/>
  <c r="D16" i="4" s="1"/>
  <c r="H16" i="4" s="1"/>
  <c r="D11" i="4"/>
  <c r="H25" i="4" s="1"/>
  <c r="E10" i="4"/>
  <c r="D10" i="4"/>
  <c r="C10" i="4"/>
  <c r="B10" i="4"/>
  <c r="D9" i="4"/>
  <c r="C9" i="4"/>
  <c r="B9" i="4"/>
  <c r="E9" i="4" s="1"/>
  <c r="C8" i="2" s="1"/>
  <c r="E8" i="4"/>
  <c r="D8" i="4"/>
  <c r="C8" i="4"/>
  <c r="B8" i="4"/>
  <c r="D7" i="4"/>
  <c r="C7" i="4"/>
  <c r="C11" i="4" s="1"/>
  <c r="B7" i="4"/>
  <c r="B11" i="4" s="1"/>
  <c r="E6" i="4"/>
  <c r="D6" i="4"/>
  <c r="C6" i="4"/>
  <c r="B6" i="4"/>
  <c r="D5" i="4"/>
  <c r="C5" i="4"/>
  <c r="C13" i="4" s="1"/>
  <c r="B5" i="4"/>
  <c r="B13" i="4" s="1"/>
  <c r="C35" i="3"/>
  <c r="B35" i="3"/>
  <c r="D34" i="3"/>
  <c r="D35" i="3" s="1"/>
  <c r="H35" i="3" s="1"/>
  <c r="C34" i="3"/>
  <c r="B34" i="3"/>
  <c r="E33" i="3"/>
  <c r="D33" i="3"/>
  <c r="C33" i="3"/>
  <c r="B33" i="3"/>
  <c r="E29" i="3"/>
  <c r="D29" i="3"/>
  <c r="C29" i="3"/>
  <c r="B29" i="3"/>
  <c r="D28" i="3"/>
  <c r="H28" i="3" s="1"/>
  <c r="C28" i="3"/>
  <c r="B28" i="3"/>
  <c r="D27" i="3"/>
  <c r="H27" i="3" s="1"/>
  <c r="C27" i="3"/>
  <c r="E27" i="3" s="1"/>
  <c r="B27" i="3"/>
  <c r="D26" i="3"/>
  <c r="C26" i="3"/>
  <c r="B26" i="3"/>
  <c r="D25" i="3"/>
  <c r="C25" i="3"/>
  <c r="B25" i="3"/>
  <c r="F25" i="3" s="1"/>
  <c r="H24" i="3"/>
  <c r="E24" i="3"/>
  <c r="D24" i="3"/>
  <c r="C24" i="3"/>
  <c r="B24" i="3"/>
  <c r="H23" i="3"/>
  <c r="E23" i="3"/>
  <c r="D23" i="3"/>
  <c r="C23" i="3"/>
  <c r="B23" i="3"/>
  <c r="E22" i="3"/>
  <c r="B16" i="2" s="1"/>
  <c r="D22" i="3"/>
  <c r="C22" i="3"/>
  <c r="B22" i="3"/>
  <c r="E21" i="3"/>
  <c r="D21" i="3"/>
  <c r="C21" i="3"/>
  <c r="B21" i="3"/>
  <c r="D20" i="3"/>
  <c r="E20" i="3" s="1"/>
  <c r="C20" i="3"/>
  <c r="B20" i="3"/>
  <c r="D19" i="3"/>
  <c r="D30" i="3" s="1"/>
  <c r="C19" i="3"/>
  <c r="C30" i="3" s="1"/>
  <c r="B19" i="3"/>
  <c r="H15" i="3"/>
  <c r="E15" i="3"/>
  <c r="D15" i="3"/>
  <c r="C15" i="3"/>
  <c r="B15" i="3"/>
  <c r="H14" i="3"/>
  <c r="D14" i="3"/>
  <c r="D13" i="3"/>
  <c r="D16" i="3" s="1"/>
  <c r="H16" i="3" s="1"/>
  <c r="D11" i="3"/>
  <c r="H25" i="3" s="1"/>
  <c r="E10" i="3"/>
  <c r="D10" i="3"/>
  <c r="C10" i="3"/>
  <c r="B10" i="3"/>
  <c r="D9" i="3"/>
  <c r="C9" i="3"/>
  <c r="B9" i="3"/>
  <c r="E9" i="3" s="1"/>
  <c r="B8" i="2" s="1"/>
  <c r="E8" i="3"/>
  <c r="D8" i="3"/>
  <c r="C8" i="3"/>
  <c r="B8" i="3"/>
  <c r="D7" i="3"/>
  <c r="C7" i="3"/>
  <c r="C11" i="3" s="1"/>
  <c r="B7" i="3"/>
  <c r="B11" i="3" s="1"/>
  <c r="E6" i="3"/>
  <c r="D6" i="3"/>
  <c r="C6" i="3"/>
  <c r="B6" i="3"/>
  <c r="D5" i="3"/>
  <c r="C5" i="3"/>
  <c r="C13" i="3" s="1"/>
  <c r="B5" i="3"/>
  <c r="B13" i="3" s="1"/>
  <c r="C17" i="2"/>
  <c r="D17" i="2" s="1"/>
  <c r="E17" i="2" s="1"/>
  <c r="B17" i="2"/>
  <c r="C16" i="2"/>
  <c r="D16" i="2" s="1"/>
  <c r="E16" i="2" s="1"/>
  <c r="B15" i="2"/>
  <c r="C12" i="2"/>
  <c r="D12" i="2" s="1"/>
  <c r="E12" i="2" s="1"/>
  <c r="B12" i="2"/>
  <c r="C9" i="2"/>
  <c r="B9" i="2"/>
  <c r="D9" i="2" s="1"/>
  <c r="E9" i="2" s="1"/>
  <c r="C7" i="2"/>
  <c r="B7" i="2"/>
  <c r="D7" i="2" s="1"/>
  <c r="E7" i="2" s="1"/>
  <c r="C5" i="2"/>
  <c r="B5" i="2"/>
  <c r="D5" i="2" s="1"/>
  <c r="E5" i="2" s="1"/>
  <c r="B31" i="1"/>
  <c r="B30" i="1"/>
  <c r="B29" i="1"/>
  <c r="B27" i="1"/>
  <c r="B26" i="1"/>
  <c r="B25" i="1"/>
  <c r="D14" i="1"/>
  <c r="D6" i="1"/>
  <c r="D20" i="1" s="1"/>
  <c r="D5" i="1"/>
  <c r="C5" i="1"/>
  <c r="B5" i="1"/>
  <c r="E5" i="1" s="1"/>
  <c r="F23" i="4" l="1"/>
  <c r="F22" i="4"/>
  <c r="F24" i="4"/>
  <c r="F15" i="4"/>
  <c r="F27" i="4"/>
  <c r="F19" i="4"/>
  <c r="E11" i="4"/>
  <c r="F28" i="4"/>
  <c r="F20" i="4"/>
  <c r="F29" i="4"/>
  <c r="F21" i="4"/>
  <c r="E13" i="4"/>
  <c r="F13" i="4"/>
  <c r="G24" i="4"/>
  <c r="G15" i="4"/>
  <c r="G25" i="4"/>
  <c r="G21" i="4"/>
  <c r="G23" i="4"/>
  <c r="G28" i="4"/>
  <c r="G20" i="4"/>
  <c r="G29" i="4"/>
  <c r="G22" i="4"/>
  <c r="G26" i="4"/>
  <c r="E35" i="3"/>
  <c r="E13" i="3"/>
  <c r="F13" i="3"/>
  <c r="G5" i="1"/>
  <c r="C44" i="3"/>
  <c r="C15" i="1"/>
  <c r="C9" i="1"/>
  <c r="G30" i="3"/>
  <c r="G35" i="3"/>
  <c r="G24" i="3"/>
  <c r="G15" i="3"/>
  <c r="C14" i="1"/>
  <c r="C6" i="1"/>
  <c r="C20" i="1" s="1"/>
  <c r="G23" i="3"/>
  <c r="G25" i="3"/>
  <c r="C16" i="1"/>
  <c r="C42" i="3"/>
  <c r="G22" i="3"/>
  <c r="G28" i="3"/>
  <c r="G20" i="3"/>
  <c r="G29" i="3"/>
  <c r="G21" i="3"/>
  <c r="G13" i="4"/>
  <c r="G13" i="3"/>
  <c r="C16" i="3"/>
  <c r="G16" i="3" s="1"/>
  <c r="F26" i="3"/>
  <c r="G26" i="3"/>
  <c r="F35" i="4"/>
  <c r="D8" i="2"/>
  <c r="E8" i="2" s="1"/>
  <c r="F26" i="4"/>
  <c r="F23" i="3"/>
  <c r="F35" i="3"/>
  <c r="F24" i="3"/>
  <c r="F15" i="3"/>
  <c r="B14" i="1"/>
  <c r="B6" i="1"/>
  <c r="B42" i="3"/>
  <c r="F28" i="3"/>
  <c r="F20" i="3"/>
  <c r="F22" i="3"/>
  <c r="F27" i="3"/>
  <c r="F19" i="3"/>
  <c r="E11" i="3"/>
  <c r="B4" i="2" s="1"/>
  <c r="F29" i="3"/>
  <c r="F21" i="3"/>
  <c r="D44" i="3"/>
  <c r="D15" i="1"/>
  <c r="H30" i="3"/>
  <c r="D9" i="1"/>
  <c r="F25" i="4"/>
  <c r="G35" i="4"/>
  <c r="E28" i="3"/>
  <c r="E34" i="3"/>
  <c r="H14" i="4"/>
  <c r="E20" i="4"/>
  <c r="H23" i="4"/>
  <c r="E28" i="4"/>
  <c r="E34" i="4"/>
  <c r="D43" i="3"/>
  <c r="H13" i="4"/>
  <c r="D17" i="4"/>
  <c r="H22" i="4"/>
  <c r="D16" i="1"/>
  <c r="E5" i="3"/>
  <c r="E7" i="3"/>
  <c r="B6" i="2" s="1"/>
  <c r="B14" i="3"/>
  <c r="B16" i="3" s="1"/>
  <c r="H21" i="3"/>
  <c r="E26" i="3"/>
  <c r="H29" i="3"/>
  <c r="E5" i="4"/>
  <c r="F5" i="1" s="1"/>
  <c r="E7" i="4"/>
  <c r="C6" i="2" s="1"/>
  <c r="B14" i="4"/>
  <c r="H21" i="4"/>
  <c r="E26" i="4"/>
  <c r="H29" i="4"/>
  <c r="H13" i="3"/>
  <c r="E19" i="4"/>
  <c r="C14" i="3"/>
  <c r="G14" i="3" s="1"/>
  <c r="G19" i="3"/>
  <c r="H20" i="3"/>
  <c r="E25" i="3"/>
  <c r="B18" i="2" s="1"/>
  <c r="G27" i="3"/>
  <c r="B30" i="3"/>
  <c r="C14" i="4"/>
  <c r="G14" i="4" s="1"/>
  <c r="G19" i="4"/>
  <c r="E25" i="4"/>
  <c r="C18" i="2" s="1"/>
  <c r="D18" i="2" s="1"/>
  <c r="E18" i="2" s="1"/>
  <c r="G27" i="4"/>
  <c r="B30" i="4"/>
  <c r="E19" i="3"/>
  <c r="H19" i="3"/>
  <c r="H19" i="4"/>
  <c r="E35" i="4"/>
  <c r="D17" i="3"/>
  <c r="H22" i="3"/>
  <c r="H26" i="3"/>
  <c r="D42" i="3"/>
  <c r="H26" i="4"/>
  <c r="F16" i="3" l="1"/>
  <c r="E16" i="3"/>
  <c r="B10" i="2" s="1"/>
  <c r="B17" i="3"/>
  <c r="B43" i="3"/>
  <c r="E43" i="3" s="1"/>
  <c r="H17" i="3"/>
  <c r="D7" i="1"/>
  <c r="D21" i="1" s="1"/>
  <c r="D8" i="1"/>
  <c r="D31" i="3"/>
  <c r="D39" i="3"/>
  <c r="H17" i="4"/>
  <c r="D31" i="4"/>
  <c r="E42" i="3"/>
  <c r="F14" i="4"/>
  <c r="E14" i="4"/>
  <c r="C11" i="2" s="1"/>
  <c r="B16" i="4"/>
  <c r="C4" i="2"/>
  <c r="D4" i="2" s="1"/>
  <c r="E4" i="2" s="1"/>
  <c r="F6" i="1"/>
  <c r="F20" i="1" s="1"/>
  <c r="F14" i="1"/>
  <c r="E30" i="3"/>
  <c r="B14" i="2" s="1"/>
  <c r="B15" i="1"/>
  <c r="E15" i="1" s="1"/>
  <c r="F30" i="3"/>
  <c r="B44" i="3"/>
  <c r="E44" i="3" s="1"/>
  <c r="B9" i="1"/>
  <c r="E9" i="1" s="1"/>
  <c r="B20" i="1"/>
  <c r="E6" i="1"/>
  <c r="C17" i="3"/>
  <c r="E16" i="1"/>
  <c r="C16" i="4"/>
  <c r="F14" i="3"/>
  <c r="E14" i="3"/>
  <c r="B11" i="2" s="1"/>
  <c r="E14" i="1"/>
  <c r="G14" i="1" s="1"/>
  <c r="C43" i="3"/>
  <c r="E30" i="4"/>
  <c r="F30" i="4"/>
  <c r="D6" i="2"/>
  <c r="E6" i="2" s="1"/>
  <c r="D10" i="1" l="1"/>
  <c r="D22" i="1" s="1"/>
  <c r="D40" i="3"/>
  <c r="D11" i="1"/>
  <c r="D36" i="3"/>
  <c r="H31" i="3"/>
  <c r="F16" i="4"/>
  <c r="E16" i="4"/>
  <c r="C10" i="2" s="1"/>
  <c r="D10" i="2" s="1"/>
  <c r="E10" i="2" s="1"/>
  <c r="B17" i="4"/>
  <c r="G16" i="4"/>
  <c r="C17" i="4"/>
  <c r="C7" i="1"/>
  <c r="C21" i="1" s="1"/>
  <c r="G17" i="3"/>
  <c r="C31" i="3"/>
  <c r="C8" i="1"/>
  <c r="C39" i="3"/>
  <c r="D36" i="4"/>
  <c r="H36" i="4" s="1"/>
  <c r="H31" i="4"/>
  <c r="B39" i="3"/>
  <c r="B7" i="1"/>
  <c r="F17" i="3"/>
  <c r="B8" i="1"/>
  <c r="E8" i="1" s="1"/>
  <c r="B31" i="3"/>
  <c r="E17" i="3"/>
  <c r="B13" i="2" s="1"/>
  <c r="D11" i="2"/>
  <c r="E11" i="2" s="1"/>
  <c r="E20" i="1"/>
  <c r="G6" i="1"/>
  <c r="G20" i="1" s="1"/>
  <c r="C14" i="2"/>
  <c r="D14" i="2" s="1"/>
  <c r="E14" i="2" s="1"/>
  <c r="F9" i="1"/>
  <c r="G9" i="1" s="1"/>
  <c r="F15" i="1"/>
  <c r="G15" i="1" s="1"/>
  <c r="C10" i="1" l="1"/>
  <c r="C22" i="1" s="1"/>
  <c r="G31" i="3"/>
  <c r="C40" i="3"/>
  <c r="C11" i="1"/>
  <c r="C36" i="3"/>
  <c r="F17" i="4"/>
  <c r="B31" i="4"/>
  <c r="E17" i="4"/>
  <c r="B28" i="1"/>
  <c r="H36" i="3"/>
  <c r="D41" i="3"/>
  <c r="D12" i="1"/>
  <c r="D23" i="1" s="1"/>
  <c r="D13" i="1"/>
  <c r="E39" i="3"/>
  <c r="G17" i="4"/>
  <c r="C31" i="4"/>
  <c r="F31" i="3"/>
  <c r="E31" i="3"/>
  <c r="B19" i="2" s="1"/>
  <c r="B10" i="1"/>
  <c r="B11" i="1"/>
  <c r="E11" i="1" s="1"/>
  <c r="B40" i="3"/>
  <c r="E40" i="3" s="1"/>
  <c r="B36" i="3"/>
  <c r="E7" i="1"/>
  <c r="B21" i="1"/>
  <c r="G36" i="3" l="1"/>
  <c r="C13" i="1"/>
  <c r="C12" i="1"/>
  <c r="C23" i="1" s="1"/>
  <c r="C41" i="3"/>
  <c r="B41" i="3"/>
  <c r="E41" i="3" s="1"/>
  <c r="F36" i="3"/>
  <c r="B12" i="1"/>
  <c r="B13" i="1"/>
  <c r="E13" i="1" s="1"/>
  <c r="E36" i="3"/>
  <c r="B20" i="2" s="1"/>
  <c r="E10" i="1"/>
  <c r="B22" i="1"/>
  <c r="G31" i="4"/>
  <c r="C36" i="4"/>
  <c r="G36" i="4" s="1"/>
  <c r="F8" i="1"/>
  <c r="G8" i="1" s="1"/>
  <c r="C13" i="2"/>
  <c r="D13" i="2" s="1"/>
  <c r="E13" i="2" s="1"/>
  <c r="F7" i="1"/>
  <c r="F21" i="1" s="1"/>
  <c r="E21" i="1"/>
  <c r="G7" i="1"/>
  <c r="G21" i="1" s="1"/>
  <c r="F31" i="4"/>
  <c r="E31" i="4"/>
  <c r="B36" i="4"/>
  <c r="F36" i="4" l="1"/>
  <c r="E36" i="4"/>
  <c r="F10" i="1"/>
  <c r="F22" i="1" s="1"/>
  <c r="C19" i="2"/>
  <c r="D19" i="2" s="1"/>
  <c r="E19" i="2" s="1"/>
  <c r="F11" i="1"/>
  <c r="G11" i="1" s="1"/>
  <c r="E22" i="1"/>
  <c r="G10" i="1"/>
  <c r="G22" i="1" s="1"/>
  <c r="B23" i="1"/>
  <c r="E12" i="1"/>
  <c r="F12" i="1" l="1"/>
  <c r="F23" i="1" s="1"/>
  <c r="C20" i="2"/>
  <c r="D20" i="2" s="1"/>
  <c r="E20" i="2" s="1"/>
  <c r="F13" i="1"/>
  <c r="G13" i="1" s="1"/>
  <c r="G12" i="1"/>
  <c r="G23" i="1" s="1"/>
  <c r="E23" i="1"/>
</calcChain>
</file>

<file path=xl/sharedStrings.xml><?xml version="1.0" encoding="utf-8"?>
<sst xmlns="http://schemas.openxmlformats.org/spreadsheetml/2006/main" count="445" uniqueCount="246">
  <si>
    <t>KPI SCORECARD</t>
  </si>
  <si>
    <t>Metric</t>
  </si>
  <si>
    <t>Jan Actual</t>
  </si>
  <si>
    <t>Feb Actual</t>
  </si>
  <si>
    <t>Mar Actual</t>
  </si>
  <si>
    <t>Q1 Actual</t>
  </si>
  <si>
    <t>Q1 Budget</t>
  </si>
  <si>
    <t>Variance Q1 ₹</t>
  </si>
  <si>
    <t>Total Rides</t>
  </si>
  <si>
    <t>Total Revenue (₹)</t>
  </si>
  <si>
    <t>Gross Profit (₹)</t>
  </si>
  <si>
    <t>Gross Margin %</t>
  </si>
  <si>
    <t>Total OpEx (₹)</t>
  </si>
  <si>
    <t>EBITDA (₹)</t>
  </si>
  <si>
    <t>EBITDA Margin %</t>
  </si>
  <si>
    <t>Net Profit / Loss (₹)</t>
  </si>
  <si>
    <t>Net Margin %</t>
  </si>
  <si>
    <t>Revenue per Ride (₹)</t>
  </si>
  <si>
    <t>Monthly Burn Rate (₹)</t>
  </si>
  <si>
    <t>Revenue Growth % (MoM)</t>
  </si>
  <si>
    <t>"-"</t>
  </si>
  <si>
    <t>Variance</t>
  </si>
  <si>
    <t>Revenue</t>
  </si>
  <si>
    <t>Gross Profit</t>
  </si>
  <si>
    <t>EBITDA</t>
  </si>
  <si>
    <t>Net P&amp;L</t>
  </si>
  <si>
    <t>Cost Category</t>
  </si>
  <si>
    <t>Q1 Actual ₹</t>
  </si>
  <si>
    <t>Driver Incentives</t>
  </si>
  <si>
    <t>Salaries (all)</t>
  </si>
  <si>
    <t>Marketing</t>
  </si>
  <si>
    <t>Gateway + Referrals</t>
  </si>
  <si>
    <t>Cloud + Office</t>
  </si>
  <si>
    <t>Support + Legal</t>
  </si>
  <si>
    <t>D&amp;A + Interest</t>
  </si>
  <si>
    <t>Model by Anjani Kumar Mishra</t>
  </si>
  <si>
    <t>GatiGo — Q1 FY2026  |  Variance Analysis  |  What happened and WHY</t>
  </si>
  <si>
    <t>Variance = Actual minus Budget for revenue lines (positive = we earned more than planned = good). For cost lines: Budget minus Actual (positive = we spent less than planned = good).</t>
  </si>
  <si>
    <t>Q1 Budget ₹</t>
  </si>
  <si>
    <t>Variance ₹</t>
  </si>
  <si>
    <t>Var %</t>
  </si>
  <si>
    <t>Result</t>
  </si>
  <si>
    <t>TOTAL REVENUE</t>
  </si>
  <si>
    <t>✘ Below Budget</t>
  </si>
  <si>
    <t>Revenue missed the plan by about 13%. Three reasons combined: (1) ride volumes were 14% below plan in Jan-Feb because the referral programme took 3 weeks to gain traction; (2) one corporate client's contract was delayed to Q2 due to their procurement process; (3) the intercity feature launched 2 weeks late, losing half of the Feb intercity revenue we planned for.</t>
  </si>
  <si>
    <t>Ride Commission</t>
  </si>
  <si>
    <t>We expected 210 rides/day in Jan — actual was 180. This directly reduces commission income. The per-ride fare (₹150) matched the plan, so the entire gap here is a volume issue, not a pricing issue.</t>
  </si>
  <si>
    <t>Intercity Revenue</t>
  </si>
  <si>
    <t>We budgeted for intercity to launch on Feb 1. It went live on Feb 15 due to a Google Maps API integration delay. This means we only got 2 weeks of Feb intercity revenue instead of 4. March came in almost on plan.</t>
  </si>
  <si>
    <t>Corporate Fees</t>
  </si>
  <si>
    <t>Budget assumed 5 corporate clients in Jan; we had 4. One fintech company's deal slipped to Q2 — their legal team needed an extra 6 weeks for contract review. This is a timing issue, not a lost deal. The contract is now expected to close in April.</t>
  </si>
  <si>
    <t>Premium Subscriptions</t>
  </si>
  <si>
    <t>We budgeted for 350 subscribers in Jan; actual was 280. The in-app upsell prompt — which shows after every 3rd ride — was not live until Feb 15. Once it went live, subscription growth improved significantly (Jan: 280 → Mar: 420).</t>
  </si>
  <si>
    <t>Advertising Revenue</t>
  </si>
  <si>
    <t>Ad revenue tracks the number of daily active users. Since ride volume was below plan, we had fewer users per day, meaning fewer ad impressions and lower earnings. Also one advertiser paused their Feb campaign due to their own budget freeze.</t>
  </si>
  <si>
    <t>TOTAL COST OF REVENUE</t>
  </si>
  <si>
    <t>✔ Lower than Budget</t>
  </si>
  <si>
    <t>Variable costs (driver incentives + gateway fees + referrals) were lower overall because we did fewer rides than budgeted — so we paid out less. This is a 'good' cost saving on paper, but it's only because revenue was also lower. The cost-per-ride was almost exactly as planned.</t>
  </si>
  <si>
    <t>Paid less in total because we completed fewer rides than expected. The per-ride incentive (₹50 Jan-Feb, ₹48 Mar) matched the plan. The planned reduction to ₹48 in March was successfully implemented, saving a small amount vs the flat ₹50 we budgeted.</t>
  </si>
  <si>
    <t>Referral Bonuses</t>
  </si>
  <si>
    <t>Fewer new users acquired than budgeted (600/month actual vs 700 budget in Jan) = lower referral spend. Also the Mar bonus was cut from ₹50 to ₹40 per user as the referral programme matured — saving ₹18K in Mar vs plan.</t>
  </si>
  <si>
    <t>GROSS PROFIT</t>
  </si>
  <si>
    <t>The revenue miss (₹1.18L gap) was only partially offset by the variable cost saving (₹0.93L). Net result: gross profit missed budget by about ₹0.25L. The gross margin (actual 1.6% vs budget 3.1%) is thin either way — this is normal for a ride-sharing platform in its first quarter.</t>
  </si>
  <si>
    <t>TOTAL OPERATING EXPENSES</t>
  </si>
  <si>
    <t>✘ Over Budget</t>
  </si>
  <si>
    <t>Fixed costs ran about ₹1.02L above budget for the quarter. The main drivers: (1) marketing spend was intentionally increased to grow users faster; (2) cloud hosting scaled with ride volume (budget assumed flat cost); (3) one BD hire was pulled forward to March.</t>
  </si>
  <si>
    <t>Salaries — Sales &amp; BD</t>
  </si>
  <si>
    <t>A new business development hire was brought forward from Q2 to March to accelerate the corporate pipeline. This added ₹15K to March salaries that was not in the budget. Over the full year this will pay for itself if the hire brings in 1-2 new corporate clients.</t>
  </si>
  <si>
    <t>App Hosting &amp; Cloud</t>
  </si>
  <si>
    <t>Cloud costs were budgeted at a flat ₹30K per month. In reality, they scale with ride volume — more rides means more API calls to Google Maps, more database queries, more storage. Actual: ₹35K → ₹38K → ₹42K. The budget model needs to be updated to reflect this variable nature.</t>
  </si>
  <si>
    <t>Marketing — Digital</t>
  </si>
  <si>
    <t>We deliberately spent more than budgeted here (₹80K vs ₹70K in Jan). The extra ₹10K went on Google app install campaigns. The result: customer acquisition cost (CAC) improved from ₹133/user in Jan to ₹111/user in Mar — so the overspend was a good investment.</t>
  </si>
  <si>
    <t>Marketing — Offline</t>
  </si>
  <si>
    <t>Campus activation events ran in all 3 months (JNTU, BITS Hyderabad, Osmania) vs 2 months budgeted. These events generated signups at ₹47/user — much cheaper than digital (₹111/user). The budget was simply too conservative here; it needs to be revised upward for Q2.</t>
  </si>
  <si>
    <t>The EBITDA loss was ₹1.36L deeper than budgeted. This is because two things went wrong at the same time: revenue was ₹1.18L below plan AND costs were ₹1.02L above plan. Positive note: EBITDA loss improved each month (Jan ₹(4.92L) → Mar ₹(4.76L)) showing the right direction.</t>
  </si>
  <si>
    <t>NET PROFIT / (LOSS)</t>
  </si>
  <si>
    <t>The Q1 net loss of ₹(14.94L) was ₹(1.99L) worse than the ₹(12.95L) budgeted loss. D&amp;A and interest were exactly on plan — all of the extra loss is from the operational issues above. The improving monthly trend (Jan ₹(5.08L) → Mar ₹(4.92L)) and the corporate pipeline give confidence that Q2 will be closer to plan.</t>
  </si>
  <si>
    <t>GatiGo — Q1 FY2026  |  Actual Profit &amp; Loss Statement</t>
  </si>
  <si>
    <t>All numbers flow from 'Assumptions (Actual)' sheet. Change any assumption → P&amp;L updates automatically.</t>
  </si>
  <si>
    <t>Line Item</t>
  </si>
  <si>
    <t>January</t>
  </si>
  <si>
    <t>February</t>
  </si>
  <si>
    <t>March</t>
  </si>
  <si>
    <t>Q1 Total</t>
  </si>
  <si>
    <t>Jan %</t>
  </si>
  <si>
    <t>Feb %</t>
  </si>
  <si>
    <t>Mar %</t>
  </si>
  <si>
    <t>REVENUE</t>
  </si>
  <si>
    <t>Total Monthly Rides</t>
  </si>
  <si>
    <t>Ride Commission Income (net of GST)</t>
  </si>
  <si>
    <t>Intercity Ride Revenue</t>
  </si>
  <si>
    <t>Corporate Partnership Fees (net of TDS)</t>
  </si>
  <si>
    <t>Premium Subscription Revenue</t>
  </si>
  <si>
    <t>COST OF REVENUE  (changes with ride volume)</t>
  </si>
  <si>
    <t>Driver Incentive Payments</t>
  </si>
  <si>
    <t>Payment Gateway Fees</t>
  </si>
  <si>
    <t>OPERATING EXPENSES  (fixed costs — same every month)</t>
  </si>
  <si>
    <t>Salaries — Engineering</t>
  </si>
  <si>
    <t>Salaries — Operations</t>
  </si>
  <si>
    <t>Office / Co-working</t>
  </si>
  <si>
    <t>Customer Support</t>
  </si>
  <si>
    <t>Legal &amp; Compliance</t>
  </si>
  <si>
    <t>Insurance</t>
  </si>
  <si>
    <t>Misc Admin</t>
  </si>
  <si>
    <t>EBITDA  (Operating Profit / Loss)</t>
  </si>
  <si>
    <t>BELOW THE LINE  (fixed finance costs)</t>
  </si>
  <si>
    <t>Depreciation</t>
  </si>
  <si>
    <t>Interest on Seed Loan</t>
  </si>
  <si>
    <t>D&amp;A + Interest Total</t>
  </si>
  <si>
    <t>KEY METRICS</t>
  </si>
  <si>
    <t>Contribution per Ride (₹)</t>
  </si>
  <si>
    <t>GatiGo — Q1 FY2026  |  Budget P&amp;L  (what we planned before Q1)</t>
  </si>
  <si>
    <t>All numbers flow from 'Assumptions (Budget)' sheet. This is what we expected to happen.</t>
  </si>
  <si>
    <t>Jan Budget</t>
  </si>
  <si>
    <t>Feb Budget</t>
  </si>
  <si>
    <t>Mar Budget</t>
  </si>
  <si>
    <t>COST OF REVENUE</t>
  </si>
  <si>
    <t>OPERATING EXPENSES</t>
  </si>
  <si>
    <t>BELOW THE LINE</t>
  </si>
  <si>
    <t>BUDGETED NET PROFIT / (LOSS)</t>
  </si>
  <si>
    <t>GatiGo — Q1 FY2026  |  Actual Assumptions (Driver Inputs)</t>
  </si>
  <si>
    <t>These are the inputs that drive the Actual P&amp;L. Blue = you can change them. All P&amp;L figures flow from here.</t>
  </si>
  <si>
    <t>Driver / Assumption</t>
  </si>
  <si>
    <t>Unit</t>
  </si>
  <si>
    <t>Note</t>
  </si>
  <si>
    <t>A — Volume &amp; Rides</t>
  </si>
  <si>
    <t>Working Days in Month</t>
  </si>
  <si>
    <t>days</t>
  </si>
  <si>
    <t>Excludes Sundays &amp; public holidays</t>
  </si>
  <si>
    <t>Average Daily Rides</t>
  </si>
  <si>
    <t>#</t>
  </si>
  <si>
    <t>Slow Jan launch; picked up in Mar</t>
  </si>
  <si>
    <t>Average Ride Fare (₹)</t>
  </si>
  <si>
    <t>₹</t>
  </si>
  <si>
    <t>Small increase in Mar due to demand</t>
  </si>
  <si>
    <t>Commission Rate</t>
  </si>
  <si>
    <t>%</t>
  </si>
  <si>
    <t>15% of gross fare kept by GatiGo</t>
  </si>
  <si>
    <t>Corporate Clients</t>
  </si>
  <si>
    <t>Slower onboarding than planned</t>
  </si>
  <si>
    <t>Corporate Contract (₹/mo)</t>
  </si>
  <si>
    <t>₹28K for larger client in Mar</t>
  </si>
  <si>
    <t>Premium Subscribers</t>
  </si>
  <si>
    <t>In-app upsell went live Feb 15</t>
  </si>
  <si>
    <t>Premium Price (₹/mo)</t>
  </si>
  <si>
    <t>Flat rate all quarter</t>
  </si>
  <si>
    <t>B — Other Revenue</t>
  </si>
  <si>
    <t>Advertising Revenue (₹/mo)</t>
  </si>
  <si>
    <t>Tracks daily active users</t>
  </si>
  <si>
    <t>Intercity Rides / Month</t>
  </si>
  <si>
    <t>Feature launched mid-Feb (2 weeks late)</t>
  </si>
  <si>
    <t>Intercity Avg Fare (₹)</t>
  </si>
  <si>
    <t>Fixed city-pair pricing</t>
  </si>
  <si>
    <t>Intercity Commission Rate</t>
  </si>
  <si>
    <t>Lower % for long trips</t>
  </si>
  <si>
    <t>C — Variable Costs (change with ride volume)</t>
  </si>
  <si>
    <t>Driver Incentive per Ride (₹)</t>
  </si>
  <si>
    <t>₹48 in Mar as mix improved</t>
  </si>
  <si>
    <t>Payment Gateway Fee per Ride (₹)</t>
  </si>
  <si>
    <t>Razorpay blended rate</t>
  </si>
  <si>
    <t>Referral Bonus per New User (₹)</t>
  </si>
  <si>
    <t>Reduced to ₹40 in Mar</t>
  </si>
  <si>
    <t>New Users Acquired</t>
  </si>
  <si>
    <t>Growing via referral + campus events</t>
  </si>
  <si>
    <t>D — Fixed Costs (same every month regardless of rides)</t>
  </si>
  <si>
    <t>Salaries — Engineering (₹/mo)</t>
  </si>
  <si>
    <t>2 engineers @ ₹60K each</t>
  </si>
  <si>
    <t>Salaries — Operations (₹/mo)</t>
  </si>
  <si>
    <t>2 ops staff @ ₹40K each</t>
  </si>
  <si>
    <t>Salaries — Sales &amp; BD (₹/mo)</t>
  </si>
  <si>
    <t>New BD hire brought forward in Mar</t>
  </si>
  <si>
    <t>App Hosting &amp; Cloud (₹/mo)</t>
  </si>
  <si>
    <t>Scales with ride volume — was underbudgeted</t>
  </si>
  <si>
    <t>Office / Co-working (₹/mo)</t>
  </si>
  <si>
    <t>Fixed lease</t>
  </si>
  <si>
    <t>Marketing — Digital (₹/mo)</t>
  </si>
  <si>
    <t>Intentionally above budget to grow users</t>
  </si>
  <si>
    <t>Marketing — Offline (₹/mo)</t>
  </si>
  <si>
    <t>Campus events — cheaper CAC than digital</t>
  </si>
  <si>
    <t>Customer Support (₹/mo)</t>
  </si>
  <si>
    <t>Part-time agent + ticketing tool</t>
  </si>
  <si>
    <t>Legal &amp; Compliance (₹/mo)</t>
  </si>
  <si>
    <t>Legal retainer</t>
  </si>
  <si>
    <t>Insurance (₹/mo)</t>
  </si>
  <si>
    <t>Rider + driver liability</t>
  </si>
  <si>
    <t>Misc Admin (₹/mo)</t>
  </si>
  <si>
    <t>Bank charges, stationery etc.</t>
  </si>
  <si>
    <t>E — Tax &amp; Finance</t>
  </si>
  <si>
    <t>GST on Commission (%)</t>
  </si>
  <si>
    <t>18% GST on platform fee (deducted)</t>
  </si>
  <si>
    <t>TDS on Corporate Fees (%)</t>
  </si>
  <si>
    <t>10% TDS deducted by clients</t>
  </si>
  <si>
    <t>Interest on Seed Loan (₹/mo)</t>
  </si>
  <si>
    <t>₹15L loan @ 10% p.a.</t>
  </si>
  <si>
    <t>Depreciation (₹/mo)</t>
  </si>
  <si>
    <t>Laptops &amp; devices, 3-yr straight-line</t>
  </si>
  <si>
    <t>GatiGo — Q1 FY2026  |  Budget Assumptions  (set before Q1 started)</t>
  </si>
  <si>
    <t>Budget was prepared in Dec 2025 — before we knew actual results. Compare with Actual Assumptions sheet to see where we were wrong.</t>
  </si>
  <si>
    <t>A — Volume &amp; Rides  (we expected MORE rides than we got)</t>
  </si>
  <si>
    <t>Same as actual</t>
  </si>
  <si>
    <t>Over-estimated — actual was 180/200/230</t>
  </si>
  <si>
    <t>Flat — didn't forecast the small increase</t>
  </si>
  <si>
    <t>Over-estimated — actual was 4/5/6</t>
  </si>
  <si>
    <t>Didn't model Mar upsell to ₹28K</t>
  </si>
  <si>
    <t>Over-estimated — actual was 280/350/420</t>
  </si>
  <si>
    <t>Higher DAU expected — didn't happen</t>
  </si>
  <si>
    <t>Expected faster launch — 2 weeks late</t>
  </si>
  <si>
    <t>C — Variable Costs</t>
  </si>
  <si>
    <t>Flat ₹50 — didn't model Mar efficiency saving</t>
  </si>
  <si>
    <t>Flat ₹50 — didn't model Mar reduction</t>
  </si>
  <si>
    <t>Higher estimate than actual</t>
  </si>
  <si>
    <t>D — Fixed Costs  (we UNDER-estimated some costs)</t>
  </si>
  <si>
    <t>Matched actual</t>
  </si>
  <si>
    <t>Missed Mar hire — actual was ₹75K</t>
  </si>
  <si>
    <t>Flat budget was wrong — scales with rides</t>
  </si>
  <si>
    <t>Under-budgeted — actual ₹80/90/100K</t>
  </si>
  <si>
    <t>Under-budgeted — more campus events ran</t>
  </si>
  <si>
    <t>Under — actual ₹20/20/22K</t>
  </si>
  <si>
    <t>GatiGo  |  About This Workbook  |  Documentation &amp; Credits</t>
  </si>
  <si>
    <t>What is this?</t>
  </si>
  <si>
    <t>A full FP&amp;A (Financial Planning &amp; Analysis) workbook for GatiGo, a carpooling startup concept. It includes: Assumption inputs, Actual P&amp;L, Budget P&amp;L, KPI Dashboard with charts, and Variance Analysis with business reasons.</t>
  </si>
  <si>
    <t>How to use it</t>
  </si>
  <si>
    <t>Go to 'Assumptions (Actual)' or 'Assumptions (Budget)' and change any blue number. Every other sheet updates automatically — the P&amp;L, KPIs, charts, and variance calculations all use formulas, not hardcoded numbers.</t>
  </si>
  <si>
    <t>What is FP&amp;A?</t>
  </si>
  <si>
    <t>FP&amp;A = Financial Planning &amp; Analysis. It is the part of a business that tracks whether the company is hitting its financial targets, explains why results differ from the plan, and recommends what to do next. This workbook is designed to demonstrate those skills.</t>
  </si>
  <si>
    <t>Sheets in this file</t>
  </si>
  <si>
    <t>1. Assumptions (Actual) — the real Q1 inputs
2. Assumptions (Budget) — what was planned before Q1
3. Actual P&amp;L — income statement from actual inputs
4. Budget P&amp;L — income statement from budget inputs
5. KPI Dashboard — key metrics + 4 charts (all formula-linked)
6. Variance Analysis — what was different and WHY
7. About — this page</t>
  </si>
  <si>
    <t>Author</t>
  </si>
  <si>
    <t>Disclaimer</t>
  </si>
  <si>
    <t>⚠  This is NOT an actual startup.
GatiGo is a design concept for a tech-driven carpooling platform, created as an academic entrepreneurship project. All financial figures shown in this workbook are completely hypothetical and made up for educational and portfolio demonstration purposes only. No real business decisions should be made based on these numbers.</t>
  </si>
  <si>
    <t>GatiGo - Q1 FY2026  |  KPI Dashboard  |  Actual vs Budget</t>
  </si>
  <si>
    <t xml:space="preserve">Chart Data </t>
  </si>
  <si>
    <t>NOT a real startup. All figures are hypothetical for educational purposes only.</t>
  </si>
  <si>
    <t>Why this happened?  (Business Reason)</t>
  </si>
  <si>
    <t>MADE BY</t>
  </si>
  <si>
    <t>Anjani Kumar Mishra</t>
  </si>
  <si>
    <t>Portfolio</t>
  </si>
  <si>
    <t>https://inakm.github.io</t>
  </si>
  <si>
    <t>LinkedIn</t>
  </si>
  <si>
    <t>https://www.linkedin.com/in/inakmm</t>
  </si>
  <si>
    <t>Project Page</t>
  </si>
  <si>
    <t>https://inakm.github.io/page/projects/gatigo.html</t>
  </si>
  <si>
    <t>Company Demo Page</t>
  </si>
  <si>
    <t>https://f9xr.github.io/Client-Projects/GatiGo</t>
  </si>
  <si>
    <t>Version</t>
  </si>
  <si>
    <t>Q1 FY2026 - March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</si>
</sst>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quot;(₹&quot;#,##0\);\-"/>
    <numFmt numFmtId="166" formatCode="0.0%;\(0.0%\);\-"/>
  </numFmts>
  <fonts count="24" x14ac:knownFonts="1">
    <font>
      <sz val="11"/>
      <color theme="1"/>
      <name val="Calibri"/>
      <family val="2"/>
      <charset val="1"/>
    </font>
    <font>
      <b/>
      <sz val="11"/>
      <color rgb="FFFFFFFF"/>
      <name val="Arial"/>
      <charset val="1"/>
    </font>
    <font>
      <i/>
      <sz val="9"/>
      <color rgb="FF455A64"/>
      <name val="Arial"/>
      <charset val="1"/>
    </font>
    <font>
      <b/>
      <sz val="9"/>
      <color rgb="FFFFFFFF"/>
      <name val="Arial"/>
      <charset val="1"/>
    </font>
    <font>
      <sz val="9"/>
      <color rgb="FF455A64"/>
      <name val="Arial"/>
      <charset val="1"/>
    </font>
    <font>
      <sz val="9"/>
      <color rgb="FF1B6B1B"/>
      <name val="Arial"/>
      <charset val="1"/>
    </font>
    <font>
      <sz val="9"/>
      <color rgb="FF000000"/>
      <name val="Arial"/>
      <charset val="1"/>
    </font>
    <font>
      <b/>
      <sz val="9"/>
      <color rgb="FF0D1B2A"/>
      <name val="Arial"/>
      <charset val="1"/>
    </font>
    <font>
      <b/>
      <sz val="9"/>
      <color rgb="FF1B6B1B"/>
      <name val="Arial"/>
      <charset val="1"/>
    </font>
    <font>
      <b/>
      <sz val="9"/>
      <color rgb="FF000000"/>
      <name val="Arial"/>
      <charset val="1"/>
    </font>
    <font>
      <b/>
      <sz val="8"/>
      <color rgb="FFFFFFFF"/>
      <name val="Arial"/>
      <charset val="1"/>
    </font>
    <font>
      <sz val="8"/>
      <color rgb="FF000000"/>
      <name val="Arial"/>
      <charset val="1"/>
    </font>
    <font>
      <sz val="8"/>
      <color rgb="FF1B6B1B"/>
      <name val="Arial"/>
      <charset val="1"/>
    </font>
    <font>
      <i/>
      <sz val="8"/>
      <color rgb="FF888888"/>
      <name val="Arial"/>
      <charset val="1"/>
    </font>
    <font>
      <i/>
      <sz val="8"/>
      <color rgb="FF37474F"/>
      <name val="Arial"/>
      <charset val="1"/>
    </font>
    <font>
      <sz val="8"/>
      <color rgb="FF455A64"/>
      <name val="Arial"/>
      <charset val="1"/>
    </font>
    <font>
      <b/>
      <sz val="9"/>
      <color rgb="FF00838F"/>
      <name val="Arial"/>
      <charset val="1"/>
    </font>
    <font>
      <b/>
      <sz val="9"/>
      <color rgb="FF0000FF"/>
      <name val="Arial"/>
      <charset val="1"/>
    </font>
    <font>
      <i/>
      <sz val="8"/>
      <color rgb="FF455A64"/>
      <name val="Arial"/>
      <charset val="1"/>
    </font>
    <font>
      <b/>
      <sz val="10"/>
      <color rgb="FFFFFFFF"/>
      <name val="Arial"/>
      <charset val="1"/>
    </font>
    <font>
      <sz val="9"/>
      <color rgb="FF37474F"/>
      <name val="Arial"/>
      <charset val="1"/>
    </font>
    <font>
      <sz val="9"/>
      <color rgb="FFE65100"/>
      <name val="Arial"/>
      <charset val="1"/>
    </font>
    <font>
      <i/>
      <sz val="9"/>
      <color rgb="FF1565C0"/>
      <name val="Arial"/>
      <charset val="1"/>
    </font>
    <font>
      <b/>
      <sz val="9"/>
      <color rgb="FF000000"/>
      <name val="Arial"/>
      <family val="2"/>
    </font>
  </fonts>
  <fills count="19">
    <fill>
      <patternFill patternType="none"/>
    </fill>
    <fill>
      <patternFill patternType="gray125"/>
    </fill>
    <fill>
      <patternFill patternType="solid">
        <fgColor rgb="FF0D1B2A"/>
        <bgColor rgb="FF000000"/>
      </patternFill>
    </fill>
    <fill>
      <patternFill patternType="solid">
        <fgColor rgb="FFF5F5F5"/>
        <bgColor rgb="FFF9F9F9"/>
      </patternFill>
    </fill>
    <fill>
      <patternFill patternType="solid">
        <fgColor rgb="FF1565C0"/>
        <bgColor rgb="FF4672A8"/>
      </patternFill>
    </fill>
    <fill>
      <patternFill patternType="solid">
        <fgColor rgb="FF283593"/>
        <bgColor rgb="FF37474F"/>
      </patternFill>
    </fill>
    <fill>
      <patternFill patternType="solid">
        <fgColor rgb="FF006064"/>
        <bgColor rgb="FF1B6B1B"/>
      </patternFill>
    </fill>
    <fill>
      <patternFill patternType="solid">
        <fgColor rgb="FF37474F"/>
        <bgColor rgb="FF455A64"/>
      </patternFill>
    </fill>
    <fill>
      <patternFill patternType="solid">
        <fgColor rgb="FFFAFAFA"/>
        <bgColor rgb="FFF9F9F9"/>
      </patternFill>
    </fill>
    <fill>
      <patternFill patternType="solid">
        <fgColor rgb="FFE3F2FD"/>
        <bgColor rgb="FFE8F5E9"/>
      </patternFill>
    </fill>
    <fill>
      <patternFill patternType="solid">
        <fgColor rgb="FFFFF3E0"/>
        <bgColor rgb="FFFFEBEE"/>
      </patternFill>
    </fill>
    <fill>
      <patternFill patternType="solid">
        <fgColor rgb="FFFFFDE7"/>
        <bgColor rgb="FFFAFAFA"/>
      </patternFill>
    </fill>
    <fill>
      <patternFill patternType="solid">
        <fgColor rgb="FF00838F"/>
        <bgColor rgb="FF006064"/>
      </patternFill>
    </fill>
    <fill>
      <patternFill patternType="solid">
        <fgColor rgb="FF455A64"/>
        <bgColor rgb="FF37474F"/>
      </patternFill>
    </fill>
    <fill>
      <patternFill patternType="solid">
        <fgColor rgb="FFC62828"/>
        <bgColor rgb="FFAB4744"/>
      </patternFill>
    </fill>
    <fill>
      <patternFill patternType="solid">
        <fgColor rgb="FF2E7D32"/>
        <bgColor rgb="FF1B6B1B"/>
      </patternFill>
    </fill>
    <fill>
      <patternFill patternType="solid">
        <fgColor rgb="FFFFEBEE"/>
        <bgColor rgb="FFFFF3E0"/>
      </patternFill>
    </fill>
    <fill>
      <patternFill patternType="solid">
        <fgColor rgb="FFE8F5E9"/>
        <bgColor rgb="FFE3F2FD"/>
      </patternFill>
    </fill>
    <fill>
      <patternFill patternType="solid">
        <fgColor rgb="FF283593"/>
        <bgColor rgb="FF4527A0"/>
      </patternFill>
    </fill>
  </fills>
  <borders count="5">
    <border>
      <left/>
      <right/>
      <top/>
      <bottom/>
      <diagonal/>
    </border>
    <border>
      <left style="thin">
        <color rgb="FF90A4AE"/>
      </left>
      <right/>
      <top style="thin">
        <color rgb="FF90A4AE"/>
      </top>
      <bottom style="thin">
        <color rgb="FF90A4AE"/>
      </bottom>
      <diagonal/>
    </border>
    <border>
      <left style="thin">
        <color rgb="FF90A4AE"/>
      </left>
      <right style="thin">
        <color rgb="FF90A4AE"/>
      </right>
      <top style="thin">
        <color rgb="FF90A4AE"/>
      </top>
      <bottom style="thin">
        <color rgb="FF90A4AE"/>
      </bottom>
      <diagonal/>
    </border>
    <border>
      <left style="thin">
        <color rgb="FF90A4AE"/>
      </left>
      <right style="thin">
        <color rgb="FF90A4AE"/>
      </right>
      <top style="thin">
        <color rgb="FF90A4AE"/>
      </top>
      <bottom style="medium">
        <color rgb="FF0D1B2A"/>
      </bottom>
      <diagonal/>
    </border>
    <border>
      <left/>
      <right/>
      <top style="thin">
        <color rgb="FF90A4AE"/>
      </top>
      <bottom style="thin">
        <color rgb="FF90A4AE"/>
      </bottom>
      <diagonal/>
    </border>
  </borders>
  <cellStyleXfs count="1">
    <xf numFmtId="0" fontId="0" fillId="0" borderId="0"/>
  </cellStyleXfs>
  <cellXfs count="107">
    <xf numFmtId="0" fontId="0" fillId="0" borderId="0" xfId="0"/>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4" fillId="8" borderId="2" xfId="0" applyFont="1" applyFill="1" applyBorder="1" applyAlignment="1">
      <alignment horizontal="left" vertical="center"/>
    </xf>
    <xf numFmtId="164" fontId="5" fillId="8" borderId="2" xfId="0" applyNumberFormat="1" applyFont="1" applyFill="1" applyBorder="1" applyAlignment="1">
      <alignment horizontal="right" vertical="center"/>
    </xf>
    <xf numFmtId="164" fontId="6" fillId="9" borderId="2" xfId="0" applyNumberFormat="1" applyFont="1" applyFill="1" applyBorder="1" applyAlignment="1">
      <alignment horizontal="right" vertical="center"/>
    </xf>
    <xf numFmtId="164" fontId="5" fillId="10" borderId="2" xfId="0" applyNumberFormat="1" applyFont="1" applyFill="1" applyBorder="1" applyAlignment="1">
      <alignment horizontal="right" vertical="center"/>
    </xf>
    <xf numFmtId="164" fontId="6" fillId="11" borderId="2" xfId="0" applyNumberFormat="1" applyFont="1" applyFill="1" applyBorder="1" applyAlignment="1">
      <alignment horizontal="right" vertical="center"/>
    </xf>
    <xf numFmtId="0" fontId="7" fillId="9" borderId="3" xfId="0" applyFont="1" applyFill="1" applyBorder="1" applyAlignment="1">
      <alignment horizontal="left" vertical="center"/>
    </xf>
    <xf numFmtId="165" fontId="8" fillId="9" borderId="3" xfId="0" applyNumberFormat="1" applyFont="1" applyFill="1" applyBorder="1" applyAlignment="1">
      <alignment horizontal="right" vertical="center"/>
    </xf>
    <xf numFmtId="165" fontId="9" fillId="9" borderId="3" xfId="0" applyNumberFormat="1" applyFont="1" applyFill="1" applyBorder="1" applyAlignment="1">
      <alignment horizontal="right" vertical="center"/>
    </xf>
    <xf numFmtId="165" fontId="8" fillId="10" borderId="3" xfId="0" applyNumberFormat="1" applyFont="1" applyFill="1" applyBorder="1" applyAlignment="1">
      <alignment horizontal="right" vertical="center"/>
    </xf>
    <xf numFmtId="165" fontId="9" fillId="11" borderId="3" xfId="0" applyNumberFormat="1" applyFont="1" applyFill="1" applyBorder="1" applyAlignment="1">
      <alignment horizontal="right" vertical="center"/>
    </xf>
    <xf numFmtId="166" fontId="5" fillId="8" borderId="2" xfId="0" applyNumberFormat="1" applyFont="1" applyFill="1" applyBorder="1" applyAlignment="1">
      <alignment horizontal="right" vertical="center"/>
    </xf>
    <xf numFmtId="166" fontId="6" fillId="9" borderId="2" xfId="0" applyNumberFormat="1" applyFont="1" applyFill="1" applyBorder="1" applyAlignment="1">
      <alignment horizontal="right" vertical="center"/>
    </xf>
    <xf numFmtId="166" fontId="5" fillId="10" borderId="2" xfId="0" applyNumberFormat="1" applyFont="1" applyFill="1" applyBorder="1" applyAlignment="1">
      <alignment horizontal="right" vertical="center"/>
    </xf>
    <xf numFmtId="166" fontId="6" fillId="11" borderId="2" xfId="0" applyNumberFormat="1" applyFont="1" applyFill="1" applyBorder="1" applyAlignment="1">
      <alignment horizontal="right" vertical="center"/>
    </xf>
    <xf numFmtId="166" fontId="8" fillId="9" borderId="3" xfId="0" applyNumberFormat="1" applyFont="1" applyFill="1" applyBorder="1" applyAlignment="1">
      <alignment horizontal="right" vertical="center"/>
    </xf>
    <xf numFmtId="166" fontId="9" fillId="9" borderId="3" xfId="0" applyNumberFormat="1" applyFont="1" applyFill="1" applyBorder="1" applyAlignment="1">
      <alignment horizontal="right" vertical="center"/>
    </xf>
    <xf numFmtId="166" fontId="8" fillId="10" borderId="3" xfId="0" applyNumberFormat="1" applyFont="1" applyFill="1" applyBorder="1" applyAlignment="1">
      <alignment horizontal="right" vertical="center"/>
    </xf>
    <xf numFmtId="166" fontId="9" fillId="11" borderId="3" xfId="0" applyNumberFormat="1" applyFont="1" applyFill="1" applyBorder="1" applyAlignment="1">
      <alignment horizontal="right" vertical="center"/>
    </xf>
    <xf numFmtId="165" fontId="5" fillId="8" borderId="2" xfId="0" applyNumberFormat="1" applyFont="1" applyFill="1" applyBorder="1" applyAlignment="1">
      <alignment horizontal="right" vertical="center"/>
    </xf>
    <xf numFmtId="165" fontId="6" fillId="9" borderId="2" xfId="0" applyNumberFormat="1" applyFont="1" applyFill="1" applyBorder="1" applyAlignment="1">
      <alignment horizontal="right" vertical="center"/>
    </xf>
    <xf numFmtId="165" fontId="5" fillId="10" borderId="2" xfId="0" applyNumberFormat="1" applyFont="1" applyFill="1" applyBorder="1" applyAlignment="1">
      <alignment horizontal="right" vertical="center"/>
    </xf>
    <xf numFmtId="165" fontId="6" fillId="11" borderId="2" xfId="0" applyNumberFormat="1" applyFont="1" applyFill="1" applyBorder="1" applyAlignment="1">
      <alignment horizontal="right" vertical="center"/>
    </xf>
    <xf numFmtId="0" fontId="0" fillId="8" borderId="2" xfId="0" applyFill="1" applyBorder="1"/>
    <xf numFmtId="0" fontId="10" fillId="7" borderId="2" xfId="0" applyFont="1" applyFill="1" applyBorder="1" applyAlignment="1">
      <alignment horizontal="center" vertical="center"/>
    </xf>
    <xf numFmtId="0" fontId="11" fillId="8" borderId="2" xfId="0" applyFont="1" applyFill="1" applyBorder="1" applyAlignment="1">
      <alignment horizontal="left" vertical="center"/>
    </xf>
    <xf numFmtId="165" fontId="12" fillId="8" borderId="2" xfId="0" applyNumberFormat="1" applyFont="1" applyFill="1" applyBorder="1" applyAlignment="1">
      <alignment horizontal="right" vertical="center"/>
    </xf>
    <xf numFmtId="165" fontId="12" fillId="11" borderId="2" xfId="0" applyNumberFormat="1" applyFont="1" applyFill="1" applyBorder="1" applyAlignment="1">
      <alignment horizontal="right" vertical="center"/>
    </xf>
    <xf numFmtId="0" fontId="11" fillId="8" borderId="2" xfId="0" applyFont="1" applyFill="1" applyBorder="1"/>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4" fillId="11" borderId="3" xfId="0" applyFont="1" applyFill="1" applyBorder="1" applyAlignment="1">
      <alignment horizontal="left" vertical="top" wrapText="1"/>
    </xf>
    <xf numFmtId="165" fontId="6" fillId="8" borderId="2" xfId="0" applyNumberFormat="1" applyFont="1" applyFill="1" applyBorder="1" applyAlignment="1">
      <alignment horizontal="right" vertical="center"/>
    </xf>
    <xf numFmtId="166" fontId="6" fillId="8" borderId="2" xfId="0" applyNumberFormat="1" applyFont="1" applyFill="1" applyBorder="1" applyAlignment="1">
      <alignment horizontal="right" vertical="center"/>
    </xf>
    <xf numFmtId="0" fontId="10" fillId="14" borderId="2" xfId="0" applyFont="1" applyFill="1" applyBorder="1" applyAlignment="1">
      <alignment horizontal="center" vertical="center" wrapText="1"/>
    </xf>
    <xf numFmtId="0" fontId="14" fillId="8" borderId="2" xfId="0" applyFont="1" applyFill="1" applyBorder="1" applyAlignment="1">
      <alignment horizontal="left" vertical="top" wrapText="1"/>
    </xf>
    <xf numFmtId="0" fontId="10" fillId="15" borderId="3" xfId="0" applyFont="1" applyFill="1" applyBorder="1" applyAlignment="1">
      <alignment horizontal="center" vertical="center" wrapText="1"/>
    </xf>
    <xf numFmtId="0" fontId="10" fillId="15" borderId="2" xfId="0" applyFont="1" applyFill="1" applyBorder="1" applyAlignment="1">
      <alignment horizontal="center" vertical="center" wrapText="1"/>
    </xf>
    <xf numFmtId="164" fontId="6" fillId="8" borderId="2" xfId="0" applyNumberFormat="1" applyFont="1" applyFill="1" applyBorder="1" applyAlignment="1">
      <alignment horizontal="right" vertical="center"/>
    </xf>
    <xf numFmtId="0" fontId="0" fillId="9" borderId="2" xfId="0" applyFill="1" applyBorder="1"/>
    <xf numFmtId="166" fontId="15" fillId="8" borderId="2" xfId="0" applyNumberFormat="1" applyFont="1" applyFill="1" applyBorder="1" applyAlignment="1">
      <alignment horizontal="right" vertical="center"/>
    </xf>
    <xf numFmtId="0" fontId="7" fillId="16" borderId="3" xfId="0" applyFont="1" applyFill="1" applyBorder="1" applyAlignment="1">
      <alignment horizontal="left" vertical="center"/>
    </xf>
    <xf numFmtId="165" fontId="8" fillId="16" borderId="3" xfId="0" applyNumberFormat="1" applyFont="1" applyFill="1" applyBorder="1" applyAlignment="1">
      <alignment horizontal="right" vertical="center"/>
    </xf>
    <xf numFmtId="166" fontId="15" fillId="16" borderId="3" xfId="0" applyNumberFormat="1" applyFont="1" applyFill="1" applyBorder="1" applyAlignment="1">
      <alignment horizontal="right" vertical="center"/>
    </xf>
    <xf numFmtId="0" fontId="7" fillId="17" borderId="3" xfId="0" applyFont="1" applyFill="1" applyBorder="1" applyAlignment="1">
      <alignment horizontal="left" vertical="center"/>
    </xf>
    <xf numFmtId="165" fontId="8" fillId="17" borderId="3" xfId="0" applyNumberFormat="1" applyFont="1" applyFill="1" applyBorder="1" applyAlignment="1">
      <alignment horizontal="right" vertical="center"/>
    </xf>
    <xf numFmtId="166" fontId="15" fillId="17" borderId="3" xfId="0" applyNumberFormat="1" applyFont="1" applyFill="1" applyBorder="1" applyAlignment="1">
      <alignment horizontal="right" vertical="center"/>
    </xf>
    <xf numFmtId="166" fontId="15" fillId="9" borderId="3" xfId="0" applyNumberFormat="1" applyFont="1" applyFill="1" applyBorder="1" applyAlignment="1">
      <alignment horizontal="right" vertical="center"/>
    </xf>
    <xf numFmtId="0" fontId="7" fillId="3" borderId="3" xfId="0" applyFont="1" applyFill="1" applyBorder="1" applyAlignment="1">
      <alignment horizontal="left" vertical="center"/>
    </xf>
    <xf numFmtId="165" fontId="8" fillId="3" borderId="3" xfId="0" applyNumberFormat="1" applyFont="1" applyFill="1" applyBorder="1" applyAlignment="1">
      <alignment horizontal="right" vertical="center"/>
    </xf>
    <xf numFmtId="166" fontId="15" fillId="3" borderId="3" xfId="0" applyNumberFormat="1" applyFont="1" applyFill="1" applyBorder="1" applyAlignment="1">
      <alignment horizontal="right" vertical="center"/>
    </xf>
    <xf numFmtId="0" fontId="7" fillId="9" borderId="2" xfId="0" applyFont="1" applyFill="1" applyBorder="1" applyAlignment="1">
      <alignment horizontal="left" vertical="center"/>
    </xf>
    <xf numFmtId="166" fontId="9" fillId="9" borderId="2" xfId="0" applyNumberFormat="1" applyFont="1" applyFill="1" applyBorder="1" applyAlignment="1">
      <alignment horizontal="right" vertical="center"/>
    </xf>
    <xf numFmtId="165" fontId="9" fillId="9" borderId="2" xfId="0" applyNumberFormat="1" applyFont="1" applyFill="1" applyBorder="1" applyAlignment="1">
      <alignment horizontal="right" vertical="center"/>
    </xf>
    <xf numFmtId="0" fontId="3" fillId="12" borderId="2" xfId="0" applyFont="1" applyFill="1" applyBorder="1" applyAlignment="1">
      <alignment horizontal="center" vertical="center"/>
    </xf>
    <xf numFmtId="0" fontId="16" fillId="10" borderId="3" xfId="0" applyFont="1" applyFill="1" applyBorder="1" applyAlignment="1">
      <alignment horizontal="left" vertical="center"/>
    </xf>
    <xf numFmtId="165" fontId="9" fillId="10" borderId="3" xfId="0" applyNumberFormat="1" applyFont="1" applyFill="1" applyBorder="1" applyAlignment="1">
      <alignment horizontal="right" vertical="center"/>
    </xf>
    <xf numFmtId="0" fontId="0" fillId="10" borderId="2" xfId="0" applyFill="1" applyBorder="1"/>
    <xf numFmtId="0" fontId="16" fillId="16" borderId="3" xfId="0" applyFont="1" applyFill="1" applyBorder="1" applyAlignment="1">
      <alignment horizontal="left" vertical="center"/>
    </xf>
    <xf numFmtId="0" fontId="16" fillId="17" borderId="3" xfId="0" applyFont="1" applyFill="1" applyBorder="1" applyAlignment="1">
      <alignment horizontal="left" vertical="center"/>
    </xf>
    <xf numFmtId="166" fontId="15" fillId="10" borderId="3" xfId="0" applyNumberFormat="1" applyFont="1" applyFill="1" applyBorder="1" applyAlignment="1">
      <alignment horizontal="right" vertical="center"/>
    </xf>
    <xf numFmtId="0" fontId="16" fillId="3" borderId="3" xfId="0" applyFont="1" applyFill="1" applyBorder="1" applyAlignment="1">
      <alignment horizontal="left" vertical="center"/>
    </xf>
    <xf numFmtId="0" fontId="6" fillId="8" borderId="2" xfId="0" applyFont="1" applyFill="1" applyBorder="1" applyAlignment="1">
      <alignment horizontal="left" vertical="center"/>
    </xf>
    <xf numFmtId="164" fontId="17" fillId="11" borderId="2" xfId="0" applyNumberFormat="1" applyFont="1" applyFill="1" applyBorder="1" applyAlignment="1">
      <alignment horizontal="right" vertical="center"/>
    </xf>
    <xf numFmtId="0" fontId="2" fillId="0" borderId="2" xfId="0" applyFont="1" applyBorder="1" applyAlignment="1">
      <alignment horizontal="center" vertical="center"/>
    </xf>
    <xf numFmtId="0" fontId="18" fillId="0" borderId="2" xfId="0" applyFont="1" applyBorder="1" applyAlignment="1">
      <alignment horizontal="left" vertical="center" wrapText="1"/>
    </xf>
    <xf numFmtId="165" fontId="17" fillId="11" borderId="2" xfId="0" applyNumberFormat="1" applyFont="1" applyFill="1" applyBorder="1" applyAlignment="1">
      <alignment horizontal="right" vertical="center"/>
    </xf>
    <xf numFmtId="166" fontId="17" fillId="11" borderId="2" xfId="0" applyNumberFormat="1" applyFont="1" applyFill="1" applyBorder="1" applyAlignment="1">
      <alignment horizontal="right" vertical="center"/>
    </xf>
    <xf numFmtId="164" fontId="17" fillId="10" borderId="2" xfId="0" applyNumberFormat="1" applyFont="1" applyFill="1" applyBorder="1" applyAlignment="1">
      <alignment horizontal="right" vertical="center"/>
    </xf>
    <xf numFmtId="165" fontId="17" fillId="10" borderId="2" xfId="0" applyNumberFormat="1" applyFont="1" applyFill="1" applyBorder="1" applyAlignment="1">
      <alignment horizontal="right" vertical="center"/>
    </xf>
    <xf numFmtId="166" fontId="17" fillId="10" borderId="2" xfId="0" applyNumberFormat="1" applyFont="1" applyFill="1" applyBorder="1" applyAlignment="1">
      <alignment horizontal="right" vertical="center"/>
    </xf>
    <xf numFmtId="0" fontId="0" fillId="3" borderId="2" xfId="0" applyFill="1" applyBorder="1"/>
    <xf numFmtId="0" fontId="19" fillId="5" borderId="2" xfId="0" applyFont="1" applyFill="1" applyBorder="1" applyAlignment="1">
      <alignment horizontal="left" vertical="top" wrapText="1"/>
    </xf>
    <xf numFmtId="0" fontId="19" fillId="14" borderId="2" xfId="0" applyFont="1" applyFill="1" applyBorder="1" applyAlignment="1">
      <alignment horizontal="left" vertical="top" wrapText="1"/>
    </xf>
    <xf numFmtId="0" fontId="7" fillId="9" borderId="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3" fillId="18" borderId="2" xfId="0" applyFont="1" applyFill="1" applyBorder="1" applyAlignment="1">
      <alignment horizontal="left" vertical="center"/>
    </xf>
    <xf numFmtId="0" fontId="22" fillId="3" borderId="1"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3" fillId="8" borderId="1" xfId="0" applyFont="1" applyFill="1" applyBorder="1" applyAlignment="1">
      <alignment horizontal="left" vertical="center" wrapText="1"/>
    </xf>
    <xf numFmtId="0" fontId="1" fillId="2" borderId="0" xfId="0" applyFont="1" applyFill="1" applyBorder="1" applyAlignment="1">
      <alignment horizontal="center" vertical="center"/>
    </xf>
    <xf numFmtId="0" fontId="2" fillId="3" borderId="1" xfId="0" applyFont="1" applyFill="1" applyBorder="1" applyAlignment="1">
      <alignment horizontal="center" vertical="center"/>
    </xf>
    <xf numFmtId="0" fontId="1" fillId="4" borderId="0" xfId="0" applyFont="1" applyFill="1" applyBorder="1" applyAlignment="1">
      <alignment horizontal="center" vertical="center"/>
    </xf>
    <xf numFmtId="0" fontId="1" fillId="7" borderId="0" xfId="0" applyFont="1" applyFill="1" applyBorder="1" applyAlignment="1">
      <alignment horizontal="center" vertical="center"/>
    </xf>
    <xf numFmtId="0" fontId="13" fillId="3" borderId="0" xfId="0" applyFont="1" applyFill="1" applyBorder="1" applyAlignment="1">
      <alignment horizontal="left" vertical="center"/>
    </xf>
    <xf numFmtId="0" fontId="13" fillId="3" borderId="0" xfId="0" applyFont="1" applyFill="1" applyBorder="1" applyAlignment="1">
      <alignment horizontal="right" vertical="center"/>
    </xf>
    <xf numFmtId="0" fontId="1" fillId="5" borderId="0" xfId="0" applyFont="1" applyFill="1" applyBorder="1" applyAlignment="1">
      <alignment horizontal="center" vertical="center"/>
    </xf>
    <xf numFmtId="0" fontId="3" fillId="12" borderId="0" xfId="0" applyFont="1" applyFill="1" applyBorder="1"/>
    <xf numFmtId="0" fontId="1" fillId="12" borderId="0" xfId="0" applyFont="1" applyFill="1" applyBorder="1" applyAlignment="1">
      <alignment horizontal="center" vertical="center"/>
    </xf>
    <xf numFmtId="0" fontId="3" fillId="4" borderId="0" xfId="0" applyFont="1" applyFill="1" applyBorder="1"/>
    <xf numFmtId="0" fontId="3" fillId="7" borderId="0" xfId="0" applyFont="1" applyFill="1" applyBorder="1" applyAlignment="1">
      <alignment horizontal="left" vertical="center"/>
    </xf>
    <xf numFmtId="0" fontId="3" fillId="12" borderId="0" xfId="0" applyFont="1" applyFill="1" applyBorder="1" applyAlignment="1">
      <alignment horizontal="left" vertical="center"/>
    </xf>
    <xf numFmtId="0" fontId="1" fillId="18" borderId="1" xfId="0" applyFont="1" applyFill="1" applyBorder="1" applyAlignment="1">
      <alignment horizontal="center" vertical="center"/>
    </xf>
    <xf numFmtId="0" fontId="21" fillId="10" borderId="1" xfId="0" applyFont="1" applyFill="1" applyBorder="1" applyAlignment="1">
      <alignment horizontal="left" vertical="top" wrapText="1"/>
    </xf>
    <xf numFmtId="0" fontId="21" fillId="10" borderId="4" xfId="0" applyFont="1" applyFill="1" applyBorder="1" applyAlignment="1">
      <alignment horizontal="left" vertical="top" wrapText="1"/>
    </xf>
    <xf numFmtId="0" fontId="20" fillId="8"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6B1B"/>
      <rgbColor rgb="FF000080"/>
      <rgbColor rgb="FF8AA64F"/>
      <rgbColor rgb="FF8064A2"/>
      <rgbColor rgb="FF00838F"/>
      <rgbColor rgb="FF9BBB59"/>
      <rgbColor rgb="FF878787"/>
      <rgbColor rgb="FF93A9CE"/>
      <rgbColor rgb="FFAB4744"/>
      <rgbColor rgb="FFFFFDE7"/>
      <rgbColor rgb="FFE3F2FD"/>
      <rgbColor rgb="FF660066"/>
      <rgbColor rgb="FFDC853E"/>
      <rgbColor rgb="FF1565C0"/>
      <rgbColor rgb="FFD9D9D9"/>
      <rgbColor rgb="FF000080"/>
      <rgbColor rgb="FFFF00FF"/>
      <rgbColor rgb="FFFFFF00"/>
      <rgbColor rgb="FF00FFFF"/>
      <rgbColor rgb="FF800080"/>
      <rgbColor rgb="FF800000"/>
      <rgbColor rgb="FF006064"/>
      <rgbColor rgb="FF0000FF"/>
      <rgbColor rgb="FF00CCFF"/>
      <rgbColor rgb="FFE8F5E9"/>
      <rgbColor rgb="FFF5F5F5"/>
      <rgbColor rgb="FFFFF3E0"/>
      <rgbColor rgb="FFF9F9F9"/>
      <rgbColor rgb="FFFAFAFA"/>
      <rgbColor rgb="FF888888"/>
      <rgbColor rgb="FFFFEBEE"/>
      <rgbColor rgb="FF4672A8"/>
      <rgbColor rgb="FF4F81BD"/>
      <rgbColor rgb="FF98B855"/>
      <rgbColor rgb="FFFFCC00"/>
      <rgbColor rgb="FFFF9900"/>
      <rgbColor rgb="FFE65100"/>
      <rgbColor rgb="FF725990"/>
      <rgbColor rgb="FF90A4AE"/>
      <rgbColor rgb="FF2E7D32"/>
      <rgbColor rgb="FF4299B0"/>
      <rgbColor rgb="FF0D1B2A"/>
      <rgbColor rgb="FF455A64"/>
      <rgbColor rgb="FFC62828"/>
      <rgbColor rgb="FF7D5FA0"/>
      <rgbColor rgb="FF283593"/>
      <rgbColor rgb="FF3747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rot="0"/>
          <a:lstStyle/>
          <a:p>
            <a:pPr>
              <a:defRPr sz="1800" b="1" strike="noStrike" spc="-1">
                <a:solidFill>
                  <a:srgbClr val="000000"/>
                </a:solidFill>
                <a:latin typeface="Calibri"/>
              </a:defRPr>
            </a:pPr>
            <a:r>
              <a:rPr lang="en-IN" sz="1800" b="1" strike="noStrike" spc="-1">
                <a:solidFill>
                  <a:srgbClr val="000000"/>
                </a:solidFill>
                <a:latin typeface="Calibri"/>
              </a:rPr>
              <a:t>Q1 Cost Breakdown (Actual)</a:t>
            </a:r>
          </a:p>
        </c:rich>
      </c:tx>
      <c:layout/>
      <c:overlay val="0"/>
      <c:spPr>
        <a:noFill/>
        <a:ln w="0">
          <a:noFill/>
        </a:ln>
      </c:spPr>
    </c:title>
    <c:autoTitleDeleted val="0"/>
    <c:plotArea>
      <c:layout/>
      <c:pieChart>
        <c:varyColors val="1"/>
        <c:ser>
          <c:idx val="0"/>
          <c:order val="0"/>
          <c:tx>
            <c:strRef>
              <c:f>'📊 KPI Dashboard'!$B$24</c:f>
              <c:strCache>
                <c:ptCount val="1"/>
                <c:pt idx="0">
                  <c:v>Q1 Actual ₹</c:v>
                </c:pt>
              </c:strCache>
            </c:strRef>
          </c:tx>
          <c:spPr>
            <a:solidFill>
              <a:srgbClr val="4F81BD"/>
            </a:solidFill>
            <a:ln w="9360">
              <a:solidFill>
                <a:srgbClr val="F9F9F9"/>
              </a:solidFill>
              <a:round/>
            </a:ln>
          </c:spPr>
          <c:dPt>
            <c:idx val="0"/>
            <c:bubble3D val="0"/>
            <c:spPr>
              <a:solidFill>
                <a:srgbClr val="4672A8"/>
              </a:solidFill>
              <a:ln w="9360">
                <a:solidFill>
                  <a:srgbClr val="F9F9F9"/>
                </a:solidFill>
                <a:round/>
              </a:ln>
            </c:spPr>
          </c:dPt>
          <c:dPt>
            <c:idx val="1"/>
            <c:bubble3D val="0"/>
            <c:spPr>
              <a:solidFill>
                <a:srgbClr val="AB4744"/>
              </a:solidFill>
              <a:ln w="9360">
                <a:solidFill>
                  <a:srgbClr val="F9F9F9"/>
                </a:solidFill>
                <a:round/>
              </a:ln>
            </c:spPr>
          </c:dPt>
          <c:dPt>
            <c:idx val="2"/>
            <c:bubble3D val="0"/>
            <c:spPr>
              <a:solidFill>
                <a:srgbClr val="8AA64F"/>
              </a:solidFill>
              <a:ln w="9360">
                <a:solidFill>
                  <a:srgbClr val="F9F9F9"/>
                </a:solidFill>
                <a:round/>
              </a:ln>
            </c:spPr>
          </c:dPt>
          <c:dPt>
            <c:idx val="3"/>
            <c:bubble3D val="0"/>
            <c:spPr>
              <a:solidFill>
                <a:srgbClr val="725990"/>
              </a:solidFill>
              <a:ln w="9360">
                <a:solidFill>
                  <a:srgbClr val="F9F9F9"/>
                </a:solidFill>
                <a:round/>
              </a:ln>
            </c:spPr>
          </c:dPt>
          <c:dPt>
            <c:idx val="4"/>
            <c:bubble3D val="0"/>
            <c:spPr>
              <a:solidFill>
                <a:srgbClr val="4299B0"/>
              </a:solidFill>
              <a:ln w="9360">
                <a:solidFill>
                  <a:srgbClr val="F9F9F9"/>
                </a:solidFill>
                <a:round/>
              </a:ln>
            </c:spPr>
          </c:dPt>
          <c:dPt>
            <c:idx val="5"/>
            <c:bubble3D val="0"/>
            <c:spPr>
              <a:solidFill>
                <a:srgbClr val="DC853E"/>
              </a:solidFill>
              <a:ln w="9360">
                <a:solidFill>
                  <a:srgbClr val="F9F9F9"/>
                </a:solidFill>
                <a:round/>
              </a:ln>
            </c:spPr>
          </c:dPt>
          <c:dPt>
            <c:idx val="6"/>
            <c:bubble3D val="0"/>
            <c:spPr>
              <a:solidFill>
                <a:srgbClr val="93A9CE"/>
              </a:solidFill>
              <a:ln w="9360">
                <a:solidFill>
                  <a:srgbClr val="F9F9F9"/>
                </a:solidFill>
                <a:round/>
              </a:ln>
            </c:spPr>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2"/>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3"/>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4"/>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5"/>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6"/>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 KPI Dashboard'!$A$25:$A$31</c:f>
              <c:strCache>
                <c:ptCount val="7"/>
                <c:pt idx="0">
                  <c:v>Driver Incentives</c:v>
                </c:pt>
                <c:pt idx="1">
                  <c:v>Salaries (all)</c:v>
                </c:pt>
                <c:pt idx="2">
                  <c:v>Marketing</c:v>
                </c:pt>
                <c:pt idx="3">
                  <c:v>Gateway + Referrals</c:v>
                </c:pt>
                <c:pt idx="4">
                  <c:v>Cloud + Office</c:v>
                </c:pt>
                <c:pt idx="5">
                  <c:v>Support + Legal</c:v>
                </c:pt>
                <c:pt idx="6">
                  <c:v>D&amp;A + Interest</c:v>
                </c:pt>
              </c:strCache>
            </c:strRef>
          </c:cat>
          <c:val>
            <c:numRef>
              <c:f>'📊 KPI Dashboard'!$B$25:$B$31</c:f>
              <c:numCache>
                <c:formatCode>\₹#,##0;"(₹"#,##0\);\-</c:formatCode>
                <c:ptCount val="7"/>
                <c:pt idx="0">
                  <c:v>761040</c:v>
                </c:pt>
                <c:pt idx="1">
                  <c:v>795000</c:v>
                </c:pt>
                <c:pt idx="2">
                  <c:v>330000</c:v>
                </c:pt>
                <c:pt idx="3">
                  <c:v>29918.644067796762</c:v>
                </c:pt>
                <c:pt idx="4">
                  <c:v>190000</c:v>
                </c:pt>
                <c:pt idx="5">
                  <c:v>146000</c:v>
                </c:pt>
                <c:pt idx="6">
                  <c:v>48000</c:v>
                </c:pt>
              </c:numCache>
            </c:numRef>
          </c:val>
        </c:ser>
        <c:dLbls>
          <c:showLegendKey val="0"/>
          <c:showVal val="0"/>
          <c:showCatName val="0"/>
          <c:showSerName val="0"/>
          <c:showPercent val="0"/>
          <c:showBubbleSize val="0"/>
          <c:showLeaderLines val="1"/>
        </c:dLbls>
        <c:firstSliceAng val="0"/>
      </c:pieChart>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23</xdr:row>
      <xdr:rowOff>104775</xdr:rowOff>
    </xdr:from>
    <xdr:to>
      <xdr:col>8</xdr:col>
      <xdr:colOff>387690</xdr:colOff>
      <xdr:row>45</xdr:row>
      <xdr:rowOff>25575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GridLines="0" tabSelected="1" zoomScaleNormal="100" workbookViewId="0">
      <pane ySplit="4" topLeftCell="A17" activePane="bottomLeft" state="frozen"/>
      <selection pane="bottomLeft" activeCell="J20" sqref="J20"/>
    </sheetView>
  </sheetViews>
  <sheetFormatPr defaultColWidth="8.7109375" defaultRowHeight="15" x14ac:dyDescent="0.25"/>
  <cols>
    <col min="1" max="1" width="28" customWidth="1"/>
    <col min="2" max="7" width="14" customWidth="1"/>
  </cols>
  <sheetData>
    <row r="1" spans="1:7" ht="36" customHeight="1" x14ac:dyDescent="0.25">
      <c r="A1" s="91" t="s">
        <v>230</v>
      </c>
      <c r="B1" s="91"/>
      <c r="C1" s="91"/>
      <c r="D1" s="91"/>
      <c r="E1" s="91"/>
      <c r="F1" s="91"/>
      <c r="G1" s="91"/>
    </row>
    <row r="2" spans="1:7" ht="15.75" customHeight="1" x14ac:dyDescent="0.25">
      <c r="A2" s="92"/>
      <c r="B2" s="92"/>
      <c r="C2" s="92"/>
      <c r="D2" s="92"/>
      <c r="E2" s="92"/>
      <c r="F2" s="92"/>
      <c r="G2" s="92"/>
    </row>
    <row r="3" spans="1:7" ht="19.5" customHeight="1" x14ac:dyDescent="0.25">
      <c r="A3" s="93" t="s">
        <v>0</v>
      </c>
      <c r="B3" s="93"/>
      <c r="C3" s="93"/>
      <c r="D3" s="93"/>
      <c r="E3" s="93"/>
      <c r="F3" s="93"/>
      <c r="G3" s="93"/>
    </row>
    <row r="4" spans="1:7" ht="18" customHeight="1" x14ac:dyDescent="0.25">
      <c r="A4" s="1" t="s">
        <v>1</v>
      </c>
      <c r="B4" s="2" t="s">
        <v>2</v>
      </c>
      <c r="C4" s="2" t="s">
        <v>3</v>
      </c>
      <c r="D4" s="2" t="s">
        <v>4</v>
      </c>
      <c r="E4" s="3" t="s">
        <v>5</v>
      </c>
      <c r="F4" s="4" t="s">
        <v>6</v>
      </c>
      <c r="G4" s="5" t="s">
        <v>7</v>
      </c>
    </row>
    <row r="5" spans="1:7" ht="15" customHeight="1" x14ac:dyDescent="0.25">
      <c r="A5" s="6" t="s">
        <v>8</v>
      </c>
      <c r="B5" s="7">
        <f>'Actual P&amp;L'!B5</f>
        <v>4680</v>
      </c>
      <c r="C5" s="7">
        <f>'Actual P&amp;L'!C5</f>
        <v>4800</v>
      </c>
      <c r="D5" s="7">
        <f>'Actual P&amp;L'!D5</f>
        <v>5980</v>
      </c>
      <c r="E5" s="8">
        <f>B5+C5+D5</f>
        <v>15460</v>
      </c>
      <c r="F5" s="9">
        <f>'Budget P&amp;L'!E5</f>
        <v>18240</v>
      </c>
      <c r="G5" s="10">
        <f>IFERROR(E5-F5,0)</f>
        <v>-2780</v>
      </c>
    </row>
    <row r="6" spans="1:7" ht="15" customHeight="1" x14ac:dyDescent="0.25">
      <c r="A6" s="11" t="s">
        <v>9</v>
      </c>
      <c r="B6" s="12">
        <f>'Actual P&amp;L'!B11</f>
        <v>249357.28813559323</v>
      </c>
      <c r="C6" s="12">
        <f>'Actual P&amp;L'!C11</f>
        <v>294235.76271186443</v>
      </c>
      <c r="D6" s="12">
        <f>'Actual P&amp;L'!D11</f>
        <v>382286.27118644072</v>
      </c>
      <c r="E6" s="13">
        <f>B6+C6+D6</f>
        <v>925879.32203389844</v>
      </c>
      <c r="F6" s="14">
        <f>'Budget P&amp;L'!E11</f>
        <v>1129126.6101694917</v>
      </c>
      <c r="G6" s="15">
        <f>IFERROR(E6-F6,0)</f>
        <v>-203247.28813559329</v>
      </c>
    </row>
    <row r="7" spans="1:7" ht="15" customHeight="1" x14ac:dyDescent="0.25">
      <c r="A7" s="11" t="s">
        <v>10</v>
      </c>
      <c r="B7" s="12">
        <f>'Actual P&amp;L'!B17</f>
        <v>-28682.711864406767</v>
      </c>
      <c r="C7" s="12">
        <f>'Actual P&amp;L'!C17</f>
        <v>2335.7627118644305</v>
      </c>
      <c r="D7" s="12">
        <f>'Actual P&amp;L'!D17</f>
        <v>41306.271186440717</v>
      </c>
      <c r="E7" s="13">
        <f>B7+C7+D7</f>
        <v>14959.322033898381</v>
      </c>
      <c r="F7" s="14">
        <f>'Budget P&amp;L'!E17</f>
        <v>34906.610169491556</v>
      </c>
      <c r="G7" s="15">
        <f>IFERROR(E7-F7,0)</f>
        <v>-19947.288135593175</v>
      </c>
    </row>
    <row r="8" spans="1:7" ht="15" customHeight="1" x14ac:dyDescent="0.25">
      <c r="A8" s="6" t="s">
        <v>11</v>
      </c>
      <c r="B8" s="16">
        <f>IFERROR('Actual P&amp;L'!B17/'Actual P&amp;L'!B11,0)</f>
        <v>-0.11502656320520274</v>
      </c>
      <c r="C8" s="16">
        <f>IFERROR('Actual P&amp;L'!C17/'Actual P&amp;L'!C11,0)</f>
        <v>7.9384052106261718E-3</v>
      </c>
      <c r="D8" s="16">
        <f>IFERROR('Actual P&amp;L'!D17/'Actual P&amp;L'!D11,0)</f>
        <v>0.10805062671553717</v>
      </c>
      <c r="E8" s="17">
        <f>AVERAGE(B8:D8)</f>
        <v>3.2082290698686361E-4</v>
      </c>
      <c r="F8" s="18">
        <f>IFERROR('Budget P&amp;L'!E17/'Budget P&amp;L'!E11,0)</f>
        <v>3.091469978220757E-2</v>
      </c>
      <c r="G8" s="19">
        <f>IFERROR(E8-F8,0)</f>
        <v>-3.0593876875220707E-2</v>
      </c>
    </row>
    <row r="9" spans="1:7" ht="15" customHeight="1" x14ac:dyDescent="0.25">
      <c r="A9" s="11" t="s">
        <v>12</v>
      </c>
      <c r="B9" s="12">
        <f>'Actual P&amp;L'!B30</f>
        <v>463000</v>
      </c>
      <c r="C9" s="12">
        <f>'Actual P&amp;L'!C30</f>
        <v>481000</v>
      </c>
      <c r="D9" s="12">
        <f>'Actual P&amp;L'!D30</f>
        <v>517000</v>
      </c>
      <c r="E9" s="13">
        <f>B9+C9+D9</f>
        <v>1461000</v>
      </c>
      <c r="F9" s="14">
        <f>'Budget P&amp;L'!E30</f>
        <v>1345000</v>
      </c>
      <c r="G9" s="15">
        <f>IFERROR(F9-E9,0)</f>
        <v>-116000</v>
      </c>
    </row>
    <row r="10" spans="1:7" ht="15" customHeight="1" x14ac:dyDescent="0.25">
      <c r="A10" s="11" t="s">
        <v>13</v>
      </c>
      <c r="B10" s="12">
        <f>'Actual P&amp;L'!B31</f>
        <v>-491682.71186440677</v>
      </c>
      <c r="C10" s="12">
        <f>'Actual P&amp;L'!C31</f>
        <v>-478664.23728813557</v>
      </c>
      <c r="D10" s="12">
        <f>'Actual P&amp;L'!D31</f>
        <v>-475693.72881355928</v>
      </c>
      <c r="E10" s="13">
        <f>B10+C10+D10</f>
        <v>-1446040.6779661016</v>
      </c>
      <c r="F10" s="14">
        <f>'Budget P&amp;L'!E31</f>
        <v>-1310093.3898305083</v>
      </c>
      <c r="G10" s="15">
        <f>IFERROR(E10-F10,0)</f>
        <v>-135947.28813559329</v>
      </c>
    </row>
    <row r="11" spans="1:7" ht="15" customHeight="1" x14ac:dyDescent="0.25">
      <c r="A11" s="11" t="s">
        <v>14</v>
      </c>
      <c r="B11" s="20">
        <f>IFERROR('Actual P&amp;L'!B31/'Actual P&amp;L'!B11,0)</f>
        <v>-1.9718000445892081</v>
      </c>
      <c r="C11" s="20">
        <f>IFERROR('Actual P&amp;L'!C31/'Actual P&amp;L'!C11,0)</f>
        <v>-1.6268050928835458</v>
      </c>
      <c r="D11" s="20">
        <f>IFERROR('Actual P&amp;L'!D31/'Actual P&amp;L'!D11,0)</f>
        <v>-1.2443390324670169</v>
      </c>
      <c r="E11" s="21">
        <f>AVERAGE(B11:D11)</f>
        <v>-1.6143147233132569</v>
      </c>
      <c r="F11" s="22">
        <f>IFERROR('Budget P&amp;L'!E31/'Budget P&amp;L'!E11,0)</f>
        <v>-1.1602714682579767</v>
      </c>
      <c r="G11" s="23">
        <f>IFERROR(E11-F11,0)</f>
        <v>-0.4540432550552802</v>
      </c>
    </row>
    <row r="12" spans="1:7" ht="15" customHeight="1" x14ac:dyDescent="0.25">
      <c r="A12" s="11" t="s">
        <v>15</v>
      </c>
      <c r="B12" s="12">
        <f>'Actual P&amp;L'!B36</f>
        <v>-507682.71186440677</v>
      </c>
      <c r="C12" s="12">
        <f>'Actual P&amp;L'!C36</f>
        <v>-494664.23728813557</v>
      </c>
      <c r="D12" s="12">
        <f>'Actual P&amp;L'!D36</f>
        <v>-491693.72881355928</v>
      </c>
      <c r="E12" s="13">
        <f>B12+C12+D12</f>
        <v>-1494040.6779661016</v>
      </c>
      <c r="F12" s="14">
        <f>'Budget P&amp;L'!E36</f>
        <v>-1358093.3898305083</v>
      </c>
      <c r="G12" s="15">
        <f>IFERROR(E12-F12,0)</f>
        <v>-135947.28813559329</v>
      </c>
    </row>
    <row r="13" spans="1:7" ht="15" customHeight="1" x14ac:dyDescent="0.25">
      <c r="A13" s="6" t="s">
        <v>16</v>
      </c>
      <c r="B13" s="16">
        <f>IFERROR('Actual P&amp;L'!B36/'Actual P&amp;L'!B11,0)</f>
        <v>-2.0359650029091738</v>
      </c>
      <c r="C13" s="16">
        <f>IFERROR('Actual P&amp;L'!C36/'Actual P&amp;L'!C11,0)</f>
        <v>-1.6811832549823125</v>
      </c>
      <c r="D13" s="16">
        <f>IFERROR('Actual P&amp;L'!D36/'Actual P&amp;L'!D11,0)</f>
        <v>-1.2861924842018735</v>
      </c>
      <c r="E13" s="17">
        <f>AVERAGE(B13:D13)</f>
        <v>-1.6677802473644532</v>
      </c>
      <c r="F13" s="18">
        <f>IFERROR('Budget P&amp;L'!E36/'Budget P&amp;L'!E11,0)</f>
        <v>-1.2027822013924963</v>
      </c>
      <c r="G13" s="19">
        <f>IFERROR(E13-F13,0)</f>
        <v>-0.46499804597195693</v>
      </c>
    </row>
    <row r="14" spans="1:7" ht="15" customHeight="1" x14ac:dyDescent="0.25">
      <c r="A14" s="6" t="s">
        <v>17</v>
      </c>
      <c r="B14" s="24">
        <f>IFERROR('Actual P&amp;L'!B11/'Actual P&amp;L'!B5,0)</f>
        <v>53.281471823844711</v>
      </c>
      <c r="C14" s="24">
        <f>IFERROR('Actual P&amp;L'!C11/'Actual P&amp;L'!C5,0)</f>
        <v>61.299117231638427</v>
      </c>
      <c r="D14" s="24">
        <f>IFERROR('Actual P&amp;L'!D11/'Actual P&amp;L'!D5,0)</f>
        <v>63.927470098067012</v>
      </c>
      <c r="E14" s="25">
        <f>B14+C14+D14</f>
        <v>178.50805915355014</v>
      </c>
      <c r="F14" s="26">
        <f>IFERROR('Budget P&amp;L'!E11/'Budget P&amp;L'!E5,0)</f>
        <v>61.903871171573009</v>
      </c>
      <c r="G14" s="27">
        <f>IFERROR(E14-F14,0)</f>
        <v>116.60418798197713</v>
      </c>
    </row>
    <row r="15" spans="1:7" ht="15" customHeight="1" x14ac:dyDescent="0.25">
      <c r="A15" s="6" t="s">
        <v>18</v>
      </c>
      <c r="B15" s="24">
        <f>'Actual P&amp;L'!B30+'Actual P&amp;L'!B35</f>
        <v>479000</v>
      </c>
      <c r="C15" s="24">
        <f>'Actual P&amp;L'!C30+'Actual P&amp;L'!C35</f>
        <v>497000</v>
      </c>
      <c r="D15" s="24">
        <f>'Actual P&amp;L'!D30+'Actual P&amp;L'!D35</f>
        <v>533000</v>
      </c>
      <c r="E15" s="25">
        <f>B15+C15+D15</f>
        <v>1509000</v>
      </c>
      <c r="F15" s="26">
        <f>'Budget P&amp;L'!E30+'Budget P&amp;L'!E35</f>
        <v>1393000</v>
      </c>
      <c r="G15" s="27">
        <f>IFERROR(F15-E15,0)</f>
        <v>-116000</v>
      </c>
    </row>
    <row r="16" spans="1:7" ht="15" customHeight="1" x14ac:dyDescent="0.25">
      <c r="A16" s="6" t="s">
        <v>19</v>
      </c>
      <c r="B16" s="16" t="s">
        <v>20</v>
      </c>
      <c r="C16" s="16">
        <f>IFERROR(('Actual P&amp;L'!C11-'Actual P&amp;L'!B11)/'Actual P&amp;L'!B11,0)</f>
        <v>0.1799765906656299</v>
      </c>
      <c r="D16" s="16">
        <f>IFERROR(('Actual P&amp;L'!D11-'Actual P&amp;L'!C11)/'Actual P&amp;L'!C11,0)</f>
        <v>0.29925155141933341</v>
      </c>
      <c r="E16" s="17">
        <f>AVERAGE(B16:D16)</f>
        <v>0.23961407104248167</v>
      </c>
      <c r="F16" s="18" t="s">
        <v>20</v>
      </c>
      <c r="G16" s="28"/>
    </row>
    <row r="18" spans="1:7" ht="15.75" customHeight="1" x14ac:dyDescent="0.25">
      <c r="A18" s="94" t="s">
        <v>231</v>
      </c>
      <c r="B18" s="94"/>
      <c r="C18" s="94"/>
      <c r="D18" s="94"/>
      <c r="E18" s="94"/>
      <c r="F18" s="94"/>
      <c r="G18" s="94"/>
    </row>
    <row r="19" spans="1:7" ht="15" customHeight="1" x14ac:dyDescent="0.25">
      <c r="A19" s="29" t="s">
        <v>1</v>
      </c>
      <c r="B19" s="29" t="s">
        <v>2</v>
      </c>
      <c r="C19" s="29" t="s">
        <v>3</v>
      </c>
      <c r="D19" s="29" t="s">
        <v>4</v>
      </c>
      <c r="E19" s="29" t="s">
        <v>5</v>
      </c>
      <c r="F19" s="29" t="s">
        <v>6</v>
      </c>
      <c r="G19" s="29" t="s">
        <v>21</v>
      </c>
    </row>
    <row r="20" spans="1:7" ht="13.5" customHeight="1" x14ac:dyDescent="0.25">
      <c r="A20" s="30" t="s">
        <v>22</v>
      </c>
      <c r="B20" s="31">
        <f t="shared" ref="B20:G21" si="0">B6</f>
        <v>249357.28813559323</v>
      </c>
      <c r="C20" s="31">
        <f t="shared" si="0"/>
        <v>294235.76271186443</v>
      </c>
      <c r="D20" s="31">
        <f t="shared" si="0"/>
        <v>382286.27118644072</v>
      </c>
      <c r="E20" s="31">
        <f t="shared" si="0"/>
        <v>925879.32203389844</v>
      </c>
      <c r="F20" s="31">
        <f t="shared" si="0"/>
        <v>1129126.6101694917</v>
      </c>
      <c r="G20" s="32">
        <f t="shared" si="0"/>
        <v>-203247.28813559329</v>
      </c>
    </row>
    <row r="21" spans="1:7" ht="13.5" customHeight="1" x14ac:dyDescent="0.25">
      <c r="A21" s="30" t="s">
        <v>23</v>
      </c>
      <c r="B21" s="31">
        <f t="shared" si="0"/>
        <v>-28682.711864406767</v>
      </c>
      <c r="C21" s="31">
        <f t="shared" si="0"/>
        <v>2335.7627118644305</v>
      </c>
      <c r="D21" s="31">
        <f t="shared" si="0"/>
        <v>41306.271186440717</v>
      </c>
      <c r="E21" s="31">
        <f t="shared" si="0"/>
        <v>14959.322033898381</v>
      </c>
      <c r="F21" s="31">
        <f t="shared" si="0"/>
        <v>34906.610169491556</v>
      </c>
      <c r="G21" s="32">
        <f t="shared" si="0"/>
        <v>-19947.288135593175</v>
      </c>
    </row>
    <row r="22" spans="1:7" ht="13.5" customHeight="1" x14ac:dyDescent="0.25">
      <c r="A22" s="30" t="s">
        <v>24</v>
      </c>
      <c r="B22" s="31">
        <f t="shared" ref="B22:G22" si="1">B10</f>
        <v>-491682.71186440677</v>
      </c>
      <c r="C22" s="31">
        <f t="shared" si="1"/>
        <v>-478664.23728813557</v>
      </c>
      <c r="D22" s="31">
        <f t="shared" si="1"/>
        <v>-475693.72881355928</v>
      </c>
      <c r="E22" s="31">
        <f t="shared" si="1"/>
        <v>-1446040.6779661016</v>
      </c>
      <c r="F22" s="31">
        <f t="shared" si="1"/>
        <v>-1310093.3898305083</v>
      </c>
      <c r="G22" s="32">
        <f t="shared" si="1"/>
        <v>-135947.28813559329</v>
      </c>
    </row>
    <row r="23" spans="1:7" ht="13.5" customHeight="1" x14ac:dyDescent="0.25">
      <c r="A23" s="30" t="s">
        <v>25</v>
      </c>
      <c r="B23" s="31">
        <f t="shared" ref="B23:G23" si="2">B12</f>
        <v>-507682.71186440677</v>
      </c>
      <c r="C23" s="31">
        <f t="shared" si="2"/>
        <v>-494664.23728813557</v>
      </c>
      <c r="D23" s="31">
        <f t="shared" si="2"/>
        <v>-491693.72881355928</v>
      </c>
      <c r="E23" s="31">
        <f t="shared" si="2"/>
        <v>-1494040.6779661016</v>
      </c>
      <c r="F23" s="31">
        <f t="shared" si="2"/>
        <v>-1358093.3898305083</v>
      </c>
      <c r="G23" s="32">
        <f t="shared" si="2"/>
        <v>-135947.28813559329</v>
      </c>
    </row>
    <row r="24" spans="1:7" ht="13.5" customHeight="1" x14ac:dyDescent="0.25">
      <c r="A24" s="29" t="s">
        <v>26</v>
      </c>
      <c r="B24" s="29" t="s">
        <v>27</v>
      </c>
    </row>
    <row r="25" spans="1:7" ht="13.5" customHeight="1" x14ac:dyDescent="0.25">
      <c r="A25" s="33" t="s">
        <v>28</v>
      </c>
      <c r="B25" s="31">
        <f>('Assumptions (Actual)'!B19*'Assumptions (Actual)'!B6*'Assumptions (Actual)'!B5)+('Assumptions (Actual)'!C19*'Assumptions (Actual)'!C6*'Assumptions (Actual)'!C5)+('Assumptions (Actual)'!D19*'Assumptions (Actual)'!D6*'Assumptions (Actual)'!D5)</f>
        <v>761040</v>
      </c>
    </row>
    <row r="26" spans="1:7" ht="13.5" customHeight="1" x14ac:dyDescent="0.25">
      <c r="A26" s="33" t="s">
        <v>29</v>
      </c>
      <c r="B26" s="31">
        <f>SUM('Assumptions (Actual)'!B24:D24)+SUM('Assumptions (Actual)'!B25:D25)+SUM('Assumptions (Actual)'!B26:D26)</f>
        <v>795000</v>
      </c>
    </row>
    <row r="27" spans="1:7" ht="13.5" customHeight="1" x14ac:dyDescent="0.25">
      <c r="A27" s="33" t="s">
        <v>30</v>
      </c>
      <c r="B27" s="31">
        <f>SUM('Assumptions (Actual)'!B29:D29)+SUM('Assumptions (Actual)'!B30:D30)</f>
        <v>330000</v>
      </c>
    </row>
    <row r="28" spans="1:7" ht="13.5" customHeight="1" x14ac:dyDescent="0.25">
      <c r="A28" s="33" t="s">
        <v>31</v>
      </c>
      <c r="B28" s="31">
        <f>SUM('Actual P&amp;L'!B17:E18)</f>
        <v>29918.644067796762</v>
      </c>
    </row>
    <row r="29" spans="1:7" ht="13.5" customHeight="1" x14ac:dyDescent="0.25">
      <c r="A29" s="33" t="s">
        <v>32</v>
      </c>
      <c r="B29" s="31">
        <f>SUM('Assumptions (Actual)'!B27:D27)+SUM('Assumptions (Actual)'!B28:D28)</f>
        <v>190000</v>
      </c>
    </row>
    <row r="30" spans="1:7" ht="13.5" customHeight="1" x14ac:dyDescent="0.25">
      <c r="A30" s="33" t="s">
        <v>33</v>
      </c>
      <c r="B30" s="31">
        <f>SUM('Assumptions (Actual)'!B31:D31)+SUM('Assumptions (Actual)'!B32:D32)+SUM('Assumptions (Actual)'!B33:D33)+SUM('Assumptions (Actual)'!B34:D34)</f>
        <v>146000</v>
      </c>
    </row>
    <row r="31" spans="1:7" ht="13.5" customHeight="1" x14ac:dyDescent="0.25">
      <c r="A31" s="33" t="s">
        <v>34</v>
      </c>
      <c r="B31" s="31">
        <f>SUM('Assumptions (Actual)'!B39:D39)+SUM('Assumptions (Actual)'!B38:D38)</f>
        <v>48000</v>
      </c>
    </row>
    <row r="49" spans="1:7" x14ac:dyDescent="0.25">
      <c r="A49" s="95" t="s">
        <v>232</v>
      </c>
      <c r="B49" s="95"/>
      <c r="C49" s="95"/>
      <c r="D49" s="96" t="s">
        <v>35</v>
      </c>
      <c r="E49" s="96"/>
      <c r="F49" s="96"/>
      <c r="G49" s="96"/>
    </row>
    <row r="76" ht="13.5" customHeight="1" x14ac:dyDescent="0.25"/>
  </sheetData>
  <mergeCells count="6">
    <mergeCell ref="A1:G1"/>
    <mergeCell ref="A2:G2"/>
    <mergeCell ref="A3:G3"/>
    <mergeCell ref="A18:G18"/>
    <mergeCell ref="A49:C49"/>
    <mergeCell ref="D49:G49"/>
  </mergeCells>
  <pageMargins left="0.75" right="0.75" top="1" bottom="1" header="0.511811023622047" footer="0.511811023622047"/>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Normal="100" workbookViewId="0">
      <selection activeCell="G3" sqref="G3"/>
    </sheetView>
  </sheetViews>
  <sheetFormatPr defaultColWidth="8.7109375" defaultRowHeight="15" x14ac:dyDescent="0.25"/>
  <cols>
    <col min="1" max="1" width="30" customWidth="1"/>
    <col min="2" max="4" width="13" customWidth="1"/>
    <col min="5" max="5" width="8.5703125" customWidth="1"/>
    <col min="6" max="6" width="9" customWidth="1"/>
    <col min="7" max="7" width="71.7109375" bestFit="1" customWidth="1"/>
  </cols>
  <sheetData>
    <row r="1" spans="1:7" ht="30" customHeight="1" x14ac:dyDescent="0.25">
      <c r="A1" s="97" t="s">
        <v>36</v>
      </c>
      <c r="B1" s="97"/>
      <c r="C1" s="97"/>
      <c r="D1" s="97"/>
      <c r="E1" s="97"/>
      <c r="F1" s="97"/>
      <c r="G1" s="97"/>
    </row>
    <row r="2" spans="1:7" ht="19.5" customHeight="1" x14ac:dyDescent="0.25">
      <c r="A2" s="92" t="s">
        <v>37</v>
      </c>
      <c r="B2" s="92"/>
      <c r="C2" s="92"/>
      <c r="D2" s="92"/>
      <c r="E2" s="92"/>
      <c r="F2" s="92"/>
      <c r="G2" s="92"/>
    </row>
    <row r="3" spans="1:7" ht="21.75" customHeight="1" x14ac:dyDescent="0.25">
      <c r="A3" s="34" t="s">
        <v>1</v>
      </c>
      <c r="B3" s="35" t="s">
        <v>27</v>
      </c>
      <c r="C3" s="36" t="s">
        <v>38</v>
      </c>
      <c r="D3" s="37" t="s">
        <v>39</v>
      </c>
      <c r="E3" s="37" t="s">
        <v>40</v>
      </c>
      <c r="F3" s="38" t="s">
        <v>41</v>
      </c>
      <c r="G3" s="39" t="s">
        <v>233</v>
      </c>
    </row>
    <row r="4" spans="1:7" ht="48" customHeight="1" x14ac:dyDescent="0.25">
      <c r="A4" s="84" t="s">
        <v>42</v>
      </c>
      <c r="B4" s="12">
        <f>'Actual P&amp;L'!E11</f>
        <v>925879.32203389844</v>
      </c>
      <c r="C4" s="12">
        <f>'Budget P&amp;L'!E11</f>
        <v>1129126.6101694917</v>
      </c>
      <c r="D4" s="13">
        <f t="shared" ref="D4:D9" si="0">IFERROR(B4-C4,0)</f>
        <v>-203247.28813559329</v>
      </c>
      <c r="E4" s="21">
        <f t="shared" ref="E4:E20" si="1">IFERROR(D4/ABS(C4),0)</f>
        <v>-0.18000398388014618</v>
      </c>
      <c r="F4" s="40" t="s">
        <v>43</v>
      </c>
      <c r="G4" s="41" t="s">
        <v>44</v>
      </c>
    </row>
    <row r="5" spans="1:7" ht="37.5" customHeight="1" x14ac:dyDescent="0.25">
      <c r="A5" s="85" t="s">
        <v>45</v>
      </c>
      <c r="B5" s="24">
        <f>'Actual P&amp;L'!E6</f>
        <v>299809.32203389832</v>
      </c>
      <c r="C5" s="24">
        <f>'Budget P&amp;L'!E6</f>
        <v>347796.61016949156</v>
      </c>
      <c r="D5" s="42">
        <f t="shared" si="0"/>
        <v>-47987.288135593233</v>
      </c>
      <c r="E5" s="43">
        <f t="shared" si="1"/>
        <v>-0.13797514619883045</v>
      </c>
      <c r="F5" s="44" t="s">
        <v>43</v>
      </c>
      <c r="G5" s="45" t="s">
        <v>46</v>
      </c>
    </row>
    <row r="6" spans="1:7" ht="37.5" customHeight="1" x14ac:dyDescent="0.25">
      <c r="A6" s="85" t="s">
        <v>47</v>
      </c>
      <c r="B6" s="24">
        <f>'Actual P&amp;L'!E7</f>
        <v>11520</v>
      </c>
      <c r="C6" s="24">
        <f>'Budget P&amp;L'!E7</f>
        <v>17280</v>
      </c>
      <c r="D6" s="42">
        <f t="shared" si="0"/>
        <v>-5760</v>
      </c>
      <c r="E6" s="43">
        <f t="shared" si="1"/>
        <v>-0.33333333333333331</v>
      </c>
      <c r="F6" s="44" t="s">
        <v>43</v>
      </c>
      <c r="G6" s="45" t="s">
        <v>48</v>
      </c>
    </row>
    <row r="7" spans="1:7" ht="37.5" customHeight="1" x14ac:dyDescent="0.25">
      <c r="A7" s="85" t="s">
        <v>49</v>
      </c>
      <c r="B7" s="24">
        <f>'Actual P&amp;L'!E8</f>
        <v>345600</v>
      </c>
      <c r="C7" s="24">
        <f>'Budget P&amp;L'!E8</f>
        <v>410400</v>
      </c>
      <c r="D7" s="42">
        <f t="shared" si="0"/>
        <v>-64800</v>
      </c>
      <c r="E7" s="43">
        <f t="shared" si="1"/>
        <v>-0.15789473684210525</v>
      </c>
      <c r="F7" s="44" t="s">
        <v>43</v>
      </c>
      <c r="G7" s="45" t="s">
        <v>50</v>
      </c>
    </row>
    <row r="8" spans="1:7" ht="37.5" customHeight="1" x14ac:dyDescent="0.25">
      <c r="A8" s="85" t="s">
        <v>51</v>
      </c>
      <c r="B8" s="24">
        <f>'Actual P&amp;L'!E9</f>
        <v>208950</v>
      </c>
      <c r="C8" s="24">
        <f>'Budget P&amp;L'!E9</f>
        <v>268650</v>
      </c>
      <c r="D8" s="42">
        <f t="shared" si="0"/>
        <v>-59700</v>
      </c>
      <c r="E8" s="43">
        <f t="shared" si="1"/>
        <v>-0.22222222222222221</v>
      </c>
      <c r="F8" s="44" t="s">
        <v>43</v>
      </c>
      <c r="G8" s="45" t="s">
        <v>52</v>
      </c>
    </row>
    <row r="9" spans="1:7" ht="37.5" customHeight="1" x14ac:dyDescent="0.25">
      <c r="A9" s="85" t="s">
        <v>53</v>
      </c>
      <c r="B9" s="24">
        <f>'Actual P&amp;L'!E10</f>
        <v>60000</v>
      </c>
      <c r="C9" s="24">
        <f>'Budget P&amp;L'!E10</f>
        <v>85000</v>
      </c>
      <c r="D9" s="42">
        <f t="shared" si="0"/>
        <v>-25000</v>
      </c>
      <c r="E9" s="43">
        <f t="shared" si="1"/>
        <v>-0.29411764705882354</v>
      </c>
      <c r="F9" s="44" t="s">
        <v>43</v>
      </c>
      <c r="G9" s="45" t="s">
        <v>54</v>
      </c>
    </row>
    <row r="10" spans="1:7" ht="48" customHeight="1" x14ac:dyDescent="0.25">
      <c r="A10" s="84" t="s">
        <v>55</v>
      </c>
      <c r="B10" s="12">
        <f>'Actual P&amp;L'!E16</f>
        <v>910920</v>
      </c>
      <c r="C10" s="12">
        <f>'Budget P&amp;L'!E16</f>
        <v>1094220</v>
      </c>
      <c r="D10" s="13">
        <f>IFERROR(C10-B10,0)</f>
        <v>183300</v>
      </c>
      <c r="E10" s="21">
        <f t="shared" si="1"/>
        <v>0.16751658715797554</v>
      </c>
      <c r="F10" s="46" t="s">
        <v>56</v>
      </c>
      <c r="G10" s="41" t="s">
        <v>57</v>
      </c>
    </row>
    <row r="11" spans="1:7" ht="37.5" customHeight="1" x14ac:dyDescent="0.25">
      <c r="A11" s="85" t="s">
        <v>28</v>
      </c>
      <c r="B11" s="24">
        <f>'Actual P&amp;L'!E14</f>
        <v>46380</v>
      </c>
      <c r="C11" s="24">
        <f>'Budget P&amp;L'!E14</f>
        <v>54720</v>
      </c>
      <c r="D11" s="42">
        <f>IFERROR(C11-B11,0)</f>
        <v>8340</v>
      </c>
      <c r="E11" s="43">
        <f t="shared" si="1"/>
        <v>0.15241228070175439</v>
      </c>
      <c r="F11" s="47" t="s">
        <v>56</v>
      </c>
      <c r="G11" s="45" t="s">
        <v>58</v>
      </c>
    </row>
    <row r="12" spans="1:7" ht="37.5" customHeight="1" x14ac:dyDescent="0.25">
      <c r="A12" s="85" t="s">
        <v>59</v>
      </c>
      <c r="B12" s="24">
        <f>'Actual P&amp;L'!E15</f>
        <v>103500</v>
      </c>
      <c r="C12" s="24">
        <f>'Budget P&amp;L'!E15</f>
        <v>127500</v>
      </c>
      <c r="D12" s="42">
        <f>IFERROR(C12-B12,0)</f>
        <v>24000</v>
      </c>
      <c r="E12" s="43">
        <f t="shared" si="1"/>
        <v>0.18823529411764706</v>
      </c>
      <c r="F12" s="47" t="s">
        <v>56</v>
      </c>
      <c r="G12" s="45" t="s">
        <v>60</v>
      </c>
    </row>
    <row r="13" spans="1:7" ht="48" customHeight="1" x14ac:dyDescent="0.25">
      <c r="A13" s="84" t="s">
        <v>61</v>
      </c>
      <c r="B13" s="12">
        <f>'Actual P&amp;L'!E17</f>
        <v>14959.322033898381</v>
      </c>
      <c r="C13" s="12">
        <f>'Budget P&amp;L'!E17</f>
        <v>34906.610169491556</v>
      </c>
      <c r="D13" s="13">
        <f>IFERROR(B13-C13,0)</f>
        <v>-19947.288135593175</v>
      </c>
      <c r="E13" s="21">
        <f t="shared" si="1"/>
        <v>-0.57144730005972177</v>
      </c>
      <c r="F13" s="40" t="s">
        <v>43</v>
      </c>
      <c r="G13" s="41" t="s">
        <v>62</v>
      </c>
    </row>
    <row r="14" spans="1:7" ht="48" customHeight="1" x14ac:dyDescent="0.25">
      <c r="A14" s="84" t="s">
        <v>63</v>
      </c>
      <c r="B14" s="12">
        <f>'Actual P&amp;L'!E30</f>
        <v>1461000</v>
      </c>
      <c r="C14" s="12">
        <f>'Budget P&amp;L'!E30</f>
        <v>1345000</v>
      </c>
      <c r="D14" s="13">
        <f>IFERROR(C14-B14,0)</f>
        <v>-116000</v>
      </c>
      <c r="E14" s="21">
        <f t="shared" si="1"/>
        <v>-8.6245353159851296E-2</v>
      </c>
      <c r="F14" s="40" t="s">
        <v>64</v>
      </c>
      <c r="G14" s="41" t="s">
        <v>65</v>
      </c>
    </row>
    <row r="15" spans="1:7" ht="37.5" customHeight="1" x14ac:dyDescent="0.25">
      <c r="A15" s="85" t="s">
        <v>66</v>
      </c>
      <c r="B15" s="24">
        <f>'Actual P&amp;L'!E21</f>
        <v>195000</v>
      </c>
      <c r="C15" s="24">
        <f>'Budget P&amp;L'!E21</f>
        <v>180000</v>
      </c>
      <c r="D15" s="42">
        <f>IFERROR(C15-B15,0)</f>
        <v>-15000</v>
      </c>
      <c r="E15" s="43">
        <f t="shared" si="1"/>
        <v>-8.3333333333333329E-2</v>
      </c>
      <c r="F15" s="44" t="s">
        <v>64</v>
      </c>
      <c r="G15" s="45" t="s">
        <v>67</v>
      </c>
    </row>
    <row r="16" spans="1:7" ht="37.5" customHeight="1" x14ac:dyDescent="0.25">
      <c r="A16" s="85" t="s">
        <v>68</v>
      </c>
      <c r="B16" s="24">
        <f>'Actual P&amp;L'!E22</f>
        <v>115000</v>
      </c>
      <c r="C16" s="24">
        <f>'Budget P&amp;L'!E22</f>
        <v>90000</v>
      </c>
      <c r="D16" s="42">
        <f>IFERROR(C16-B16,0)</f>
        <v>-25000</v>
      </c>
      <c r="E16" s="43">
        <f t="shared" si="1"/>
        <v>-0.27777777777777779</v>
      </c>
      <c r="F16" s="44" t="s">
        <v>64</v>
      </c>
      <c r="G16" s="45" t="s">
        <v>69</v>
      </c>
    </row>
    <row r="17" spans="1:7" ht="37.5" customHeight="1" x14ac:dyDescent="0.25">
      <c r="A17" s="85" t="s">
        <v>70</v>
      </c>
      <c r="B17" s="24">
        <f>'Actual P&amp;L'!E24</f>
        <v>270000</v>
      </c>
      <c r="C17" s="24">
        <f>'Budget P&amp;L'!E24</f>
        <v>225000</v>
      </c>
      <c r="D17" s="42">
        <f>IFERROR(C17-B17,0)</f>
        <v>-45000</v>
      </c>
      <c r="E17" s="43">
        <f t="shared" si="1"/>
        <v>-0.2</v>
      </c>
      <c r="F17" s="44" t="s">
        <v>64</v>
      </c>
      <c r="G17" s="45" t="s">
        <v>71</v>
      </c>
    </row>
    <row r="18" spans="1:7" ht="37.5" customHeight="1" x14ac:dyDescent="0.25">
      <c r="A18" s="85" t="s">
        <v>72</v>
      </c>
      <c r="B18" s="24">
        <f>'Actual P&amp;L'!E25</f>
        <v>60000</v>
      </c>
      <c r="C18" s="24">
        <f>'Budget P&amp;L'!E25</f>
        <v>37000</v>
      </c>
      <c r="D18" s="42">
        <f>IFERROR(C18-B18,0)</f>
        <v>-23000</v>
      </c>
      <c r="E18" s="43">
        <f t="shared" si="1"/>
        <v>-0.6216216216216216</v>
      </c>
      <c r="F18" s="44" t="s">
        <v>64</v>
      </c>
      <c r="G18" s="45" t="s">
        <v>73</v>
      </c>
    </row>
    <row r="19" spans="1:7" ht="48" customHeight="1" x14ac:dyDescent="0.25">
      <c r="A19" s="84" t="s">
        <v>24</v>
      </c>
      <c r="B19" s="12">
        <f>'Actual P&amp;L'!E31</f>
        <v>-1446040.6779661016</v>
      </c>
      <c r="C19" s="12">
        <f>'Budget P&amp;L'!E31</f>
        <v>-1310093.3898305083</v>
      </c>
      <c r="D19" s="13">
        <f>IFERROR(B19-C19,0)</f>
        <v>-135947.28813559329</v>
      </c>
      <c r="E19" s="21">
        <f t="shared" si="1"/>
        <v>-0.10376915813091867</v>
      </c>
      <c r="F19" s="40" t="s">
        <v>43</v>
      </c>
      <c r="G19" s="41" t="s">
        <v>74</v>
      </c>
    </row>
    <row r="20" spans="1:7" ht="48" customHeight="1" x14ac:dyDescent="0.25">
      <c r="A20" s="84" t="s">
        <v>75</v>
      </c>
      <c r="B20" s="12">
        <f>'Actual P&amp;L'!E36</f>
        <v>-1494040.6779661016</v>
      </c>
      <c r="C20" s="12">
        <f>'Budget P&amp;L'!E36</f>
        <v>-1358093.3898305083</v>
      </c>
      <c r="D20" s="13">
        <f>IFERROR(B20-C20,0)</f>
        <v>-135947.28813559329</v>
      </c>
      <c r="E20" s="21">
        <f t="shared" si="1"/>
        <v>-0.10010157560118872</v>
      </c>
      <c r="F20" s="40" t="s">
        <v>43</v>
      </c>
      <c r="G20" s="41" t="s">
        <v>76</v>
      </c>
    </row>
    <row r="22" spans="1:7" ht="13.5" customHeight="1" x14ac:dyDescent="0.25">
      <c r="A22" s="95" t="s">
        <v>232</v>
      </c>
      <c r="B22" s="95"/>
      <c r="C22" s="95"/>
      <c r="D22" s="96" t="s">
        <v>35</v>
      </c>
      <c r="E22" s="96"/>
      <c r="F22" s="96"/>
      <c r="G22" s="96"/>
    </row>
  </sheetData>
  <mergeCells count="4">
    <mergeCell ref="A1:G1"/>
    <mergeCell ref="A2:G2"/>
    <mergeCell ref="A22:C22"/>
    <mergeCell ref="D22:G2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workbookViewId="0">
      <selection activeCell="L16" sqref="L16"/>
    </sheetView>
  </sheetViews>
  <sheetFormatPr defaultColWidth="8.7109375" defaultRowHeight="15" x14ac:dyDescent="0.25"/>
  <cols>
    <col min="1" max="1" width="36" customWidth="1"/>
    <col min="2" max="4" width="14" customWidth="1"/>
    <col min="5" max="5" width="16" customWidth="1"/>
    <col min="6" max="8" width="10" customWidth="1"/>
  </cols>
  <sheetData>
    <row r="1" spans="1:8" ht="30" customHeight="1" x14ac:dyDescent="0.25">
      <c r="A1" s="99" t="s">
        <v>111</v>
      </c>
      <c r="B1" s="99"/>
      <c r="C1" s="99"/>
      <c r="D1" s="99"/>
      <c r="E1" s="99"/>
      <c r="F1" s="99"/>
      <c r="G1" s="99"/>
      <c r="H1" s="99"/>
    </row>
    <row r="2" spans="1:8" ht="15.75" customHeight="1" x14ac:dyDescent="0.25">
      <c r="A2" s="92" t="s">
        <v>112</v>
      </c>
      <c r="B2" s="92"/>
      <c r="C2" s="92"/>
      <c r="D2" s="92"/>
      <c r="E2" s="92"/>
      <c r="F2" s="92"/>
      <c r="G2" s="92"/>
      <c r="H2" s="92"/>
    </row>
    <row r="3" spans="1:8" ht="18" customHeight="1" x14ac:dyDescent="0.25">
      <c r="A3" s="64" t="s">
        <v>79</v>
      </c>
      <c r="B3" s="64" t="s">
        <v>113</v>
      </c>
      <c r="C3" s="64" t="s">
        <v>114</v>
      </c>
      <c r="D3" s="64" t="s">
        <v>115</v>
      </c>
      <c r="E3" s="4" t="s">
        <v>6</v>
      </c>
      <c r="F3" s="5" t="s">
        <v>84</v>
      </c>
      <c r="G3" s="5" t="s">
        <v>85</v>
      </c>
      <c r="H3" s="5" t="s">
        <v>86</v>
      </c>
    </row>
    <row r="4" spans="1:8" ht="15.75" customHeight="1" x14ac:dyDescent="0.25">
      <c r="A4" s="98" t="s">
        <v>87</v>
      </c>
      <c r="B4" s="98"/>
      <c r="C4" s="98"/>
      <c r="D4" s="98"/>
      <c r="E4" s="98"/>
      <c r="F4" s="98"/>
      <c r="G4" s="98"/>
      <c r="H4" s="98"/>
    </row>
    <row r="5" spans="1:8" ht="15" customHeight="1" x14ac:dyDescent="0.25">
      <c r="A5" s="6" t="s">
        <v>88</v>
      </c>
      <c r="B5" s="7">
        <f>'Assumptions (Budget)'!B6*'Assumptions (Budget)'!B5</f>
        <v>5460</v>
      </c>
      <c r="C5" s="7">
        <f>'Assumptions (Budget)'!C6*'Assumptions (Budget)'!C5</f>
        <v>5760</v>
      </c>
      <c r="D5" s="7">
        <f>'Assumptions (Budget)'!D6*'Assumptions (Budget)'!D5</f>
        <v>7020</v>
      </c>
      <c r="E5" s="48">
        <f t="shared" ref="E5:E11" si="0">B5+C5+D5</f>
        <v>18240</v>
      </c>
      <c r="F5" s="28"/>
      <c r="G5" s="28"/>
      <c r="H5" s="28"/>
    </row>
    <row r="6" spans="1:8" ht="15" customHeight="1" x14ac:dyDescent="0.25">
      <c r="A6" s="6" t="s">
        <v>89</v>
      </c>
      <c r="B6" s="24">
        <f>('Assumptions (Budget)'!B6*'Assumptions (Budget)'!B5*'Assumptions (Budget)'!B7*'Assumptions (Budget)'!B8)/(1+'Assumptions (Budget)'!B36)</f>
        <v>104110.16949152543</v>
      </c>
      <c r="C6" s="24">
        <f>('Assumptions (Budget)'!C6*'Assumptions (Budget)'!C5*'Assumptions (Budget)'!C7*'Assumptions (Budget)'!C8)/(1+'Assumptions (Budget)'!C36)</f>
        <v>109830.50847457627</v>
      </c>
      <c r="D6" s="24">
        <f>('Assumptions (Budget)'!D6*'Assumptions (Budget)'!D5*'Assumptions (Budget)'!D7*'Assumptions (Budget)'!D8)/(1+'Assumptions (Budget)'!D36)</f>
        <v>133855.93220338985</v>
      </c>
      <c r="E6" s="42">
        <f t="shared" si="0"/>
        <v>347796.61016949156</v>
      </c>
      <c r="F6" s="28"/>
      <c r="G6" s="28"/>
      <c r="H6" s="28"/>
    </row>
    <row r="7" spans="1:8" ht="15" customHeight="1" x14ac:dyDescent="0.25">
      <c r="A7" s="6" t="s">
        <v>90</v>
      </c>
      <c r="B7" s="24">
        <f>'Assumptions (Budget)'!B15*'Assumptions (Budget)'!B16*'Assumptions (Budget)'!B17</f>
        <v>0</v>
      </c>
      <c r="C7" s="24">
        <f>'Assumptions (Budget)'!C15*'Assumptions (Budget)'!C16*'Assumptions (Budget)'!C17</f>
        <v>5760</v>
      </c>
      <c r="D7" s="24">
        <f>'Assumptions (Budget)'!D15*'Assumptions (Budget)'!D16*'Assumptions (Budget)'!D17</f>
        <v>11520</v>
      </c>
      <c r="E7" s="42">
        <f t="shared" si="0"/>
        <v>17280</v>
      </c>
      <c r="F7" s="28"/>
      <c r="G7" s="28"/>
      <c r="H7" s="28"/>
    </row>
    <row r="8" spans="1:8" ht="15" customHeight="1" x14ac:dyDescent="0.25">
      <c r="A8" s="6" t="s">
        <v>91</v>
      </c>
      <c r="B8" s="24">
        <f>'Assumptions (Budget)'!B9*(1-'Assumptions (Budget)'!B37) *'Assumptions (Budget)'!B10</f>
        <v>108000</v>
      </c>
      <c r="C8" s="24">
        <f>'Assumptions (Budget)'!C9*(1-'Assumptions (Budget)'!C37) *'Assumptions (Budget)'!C10</f>
        <v>129600.00000000001</v>
      </c>
      <c r="D8" s="24">
        <f>'Assumptions (Budget)'!D9*(1-'Assumptions (Budget)'!D37) *'Assumptions (Budget)'!D10</f>
        <v>172800</v>
      </c>
      <c r="E8" s="42">
        <f t="shared" si="0"/>
        <v>410400</v>
      </c>
      <c r="F8" s="28"/>
      <c r="G8" s="28"/>
      <c r="H8" s="28"/>
    </row>
    <row r="9" spans="1:8" ht="15" customHeight="1" x14ac:dyDescent="0.25">
      <c r="A9" s="6" t="s">
        <v>92</v>
      </c>
      <c r="B9" s="24">
        <f>'Assumptions (Budget)'!B11*'Assumptions (Budget)'!B12</f>
        <v>69650</v>
      </c>
      <c r="C9" s="24">
        <f>'Assumptions (Budget)'!C11*'Assumptions (Budget)'!C12</f>
        <v>89550</v>
      </c>
      <c r="D9" s="24">
        <f>'Assumptions (Budget)'!D11*'Assumptions (Budget)'!D12</f>
        <v>109450</v>
      </c>
      <c r="E9" s="42">
        <f t="shared" si="0"/>
        <v>268650</v>
      </c>
      <c r="F9" s="28"/>
      <c r="G9" s="28"/>
      <c r="H9" s="28"/>
    </row>
    <row r="10" spans="1:8" ht="15" customHeight="1" x14ac:dyDescent="0.25">
      <c r="A10" s="6" t="s">
        <v>53</v>
      </c>
      <c r="B10" s="24">
        <f>'Assumptions (Budget)'!B14</f>
        <v>25000</v>
      </c>
      <c r="C10" s="24">
        <f>'Assumptions (Budget)'!C14</f>
        <v>28000</v>
      </c>
      <c r="D10" s="24">
        <f>'Assumptions (Budget)'!D14</f>
        <v>32000</v>
      </c>
      <c r="E10" s="42">
        <f t="shared" si="0"/>
        <v>85000</v>
      </c>
      <c r="F10" s="28"/>
      <c r="G10" s="28"/>
      <c r="H10" s="28"/>
    </row>
    <row r="11" spans="1:8" ht="15" customHeight="1" x14ac:dyDescent="0.25">
      <c r="A11" s="65" t="s">
        <v>42</v>
      </c>
      <c r="B11" s="14">
        <f>SUM(B6:B10)</f>
        <v>306760.16949152545</v>
      </c>
      <c r="C11" s="14">
        <f>SUM(C6:C10)</f>
        <v>362740.50847457629</v>
      </c>
      <c r="D11" s="14">
        <f>SUM(D6:D10)</f>
        <v>459625.93220338982</v>
      </c>
      <c r="E11" s="66">
        <f t="shared" si="0"/>
        <v>1129126.6101694917</v>
      </c>
      <c r="F11" s="67"/>
      <c r="G11" s="67"/>
      <c r="H11" s="67"/>
    </row>
    <row r="12" spans="1:8" ht="15.75" customHeight="1" x14ac:dyDescent="0.25">
      <c r="A12" s="98" t="s">
        <v>116</v>
      </c>
      <c r="B12" s="98"/>
      <c r="C12" s="98"/>
      <c r="D12" s="98"/>
      <c r="E12" s="98"/>
      <c r="F12" s="98"/>
      <c r="G12" s="98"/>
      <c r="H12" s="98"/>
    </row>
    <row r="13" spans="1:8" ht="15" customHeight="1" x14ac:dyDescent="0.25">
      <c r="A13" s="6" t="s">
        <v>94</v>
      </c>
      <c r="B13" s="24">
        <f>B5*'Assumptions (Budget)'!B19</f>
        <v>273000</v>
      </c>
      <c r="C13" s="24">
        <f>C5*'Assumptions (Budget)'!C19</f>
        <v>288000</v>
      </c>
      <c r="D13" s="24">
        <f>D5*'Assumptions (Budget)'!D19</f>
        <v>351000</v>
      </c>
      <c r="E13" s="42">
        <f>B13+C13+D13</f>
        <v>912000</v>
      </c>
      <c r="F13" s="50">
        <f>IFERROR(B13/B11,0)</f>
        <v>0.88994604629575902</v>
      </c>
      <c r="G13" s="50">
        <f>IFERROR(C13/C11,0)</f>
        <v>0.79395599132591865</v>
      </c>
      <c r="H13" s="50">
        <f>IFERROR(D13/D11,0)</f>
        <v>0.76366448324042435</v>
      </c>
    </row>
    <row r="14" spans="1:8" ht="15" customHeight="1" x14ac:dyDescent="0.25">
      <c r="A14" s="6" t="s">
        <v>95</v>
      </c>
      <c r="B14" s="24">
        <f>B5*'Assumptions (Budget)'!B20</f>
        <v>16380</v>
      </c>
      <c r="C14" s="24">
        <f>C5*'Assumptions (Budget)'!C20</f>
        <v>17280</v>
      </c>
      <c r="D14" s="24">
        <f>D5*'Assumptions (Budget)'!D20</f>
        <v>21060</v>
      </c>
      <c r="E14" s="42">
        <f>B14+C14+D14</f>
        <v>54720</v>
      </c>
      <c r="F14" s="50">
        <f>IFERROR(B14/B11,0)</f>
        <v>5.3396762777745542E-2</v>
      </c>
      <c r="G14" s="50">
        <f>IFERROR(C14/C11,0)</f>
        <v>4.7637359479555115E-2</v>
      </c>
      <c r="H14" s="50">
        <f>IFERROR(D14/D11,0)</f>
        <v>4.5819868994425458E-2</v>
      </c>
    </row>
    <row r="15" spans="1:8" ht="15" customHeight="1" x14ac:dyDescent="0.25">
      <c r="A15" s="6" t="s">
        <v>59</v>
      </c>
      <c r="B15" s="24">
        <f>'Assumptions (Budget)'!B22*'Assumptions (Budget)'!B21</f>
        <v>35000</v>
      </c>
      <c r="C15" s="24">
        <f>'Assumptions (Budget)'!C22*'Assumptions (Budget)'!C21</f>
        <v>42500</v>
      </c>
      <c r="D15" s="24">
        <f>'Assumptions (Budget)'!D22*'Assumptions (Budget)'!D21</f>
        <v>50000</v>
      </c>
      <c r="E15" s="42">
        <f>B15+C15+D15</f>
        <v>127500</v>
      </c>
      <c r="F15" s="50">
        <f>IFERROR(B15/B11,0)</f>
        <v>0.11409564696099475</v>
      </c>
      <c r="G15" s="50">
        <f>IFERROR(C15/C11,0)</f>
        <v>0.11716364455330397</v>
      </c>
      <c r="H15" s="50">
        <f>IFERROR(D15/D11,0)</f>
        <v>0.10878411442171287</v>
      </c>
    </row>
    <row r="16" spans="1:8" ht="15" customHeight="1" x14ac:dyDescent="0.25">
      <c r="A16" s="68" t="s">
        <v>55</v>
      </c>
      <c r="B16" s="52">
        <f>SUM(B13:B15)</f>
        <v>324380</v>
      </c>
      <c r="C16" s="52">
        <f>SUM(C13:C15)</f>
        <v>347780</v>
      </c>
      <c r="D16" s="52">
        <f>SUM(D13:D15)</f>
        <v>422060</v>
      </c>
      <c r="E16" s="66">
        <f>B16+C16+D16</f>
        <v>1094220</v>
      </c>
      <c r="F16" s="53">
        <f>IFERROR(B16/B11,0)</f>
        <v>1.0574384560344994</v>
      </c>
      <c r="G16" s="53">
        <f>IFERROR(C16/C11,0)</f>
        <v>0.95875699535877767</v>
      </c>
      <c r="H16" s="53">
        <f>IFERROR(D16/D11,0)</f>
        <v>0.9182684666565627</v>
      </c>
    </row>
    <row r="17" spans="1:8" ht="15" customHeight="1" x14ac:dyDescent="0.25">
      <c r="A17" s="69" t="s">
        <v>61</v>
      </c>
      <c r="B17" s="55">
        <f>B11-B16</f>
        <v>-17619.830508474552</v>
      </c>
      <c r="C17" s="55">
        <f>C11-C16</f>
        <v>14960.508474576287</v>
      </c>
      <c r="D17" s="55">
        <f>D11-D16</f>
        <v>37565.932203389821</v>
      </c>
      <c r="E17" s="66">
        <f>B17+C17+D17</f>
        <v>34906.610169491556</v>
      </c>
      <c r="F17" s="56">
        <f>IFERROR(B17/B11,0)</f>
        <v>-5.7438456034499347E-2</v>
      </c>
      <c r="G17" s="56">
        <f>IFERROR(C17/C11,0)</f>
        <v>4.1243004641222297E-2</v>
      </c>
      <c r="H17" s="56">
        <f>IFERROR(D17/D11,0)</f>
        <v>8.1731533343437329E-2</v>
      </c>
    </row>
    <row r="18" spans="1:8" ht="15.75" customHeight="1" x14ac:dyDescent="0.25">
      <c r="A18" s="98" t="s">
        <v>117</v>
      </c>
      <c r="B18" s="98"/>
      <c r="C18" s="98"/>
      <c r="D18" s="98"/>
      <c r="E18" s="98"/>
      <c r="F18" s="98"/>
      <c r="G18" s="98"/>
      <c r="H18" s="98"/>
    </row>
    <row r="19" spans="1:8" ht="15" customHeight="1" x14ac:dyDescent="0.25">
      <c r="A19" s="6" t="s">
        <v>97</v>
      </c>
      <c r="B19" s="24">
        <f>'Assumptions (Budget)'!B24</f>
        <v>120000</v>
      </c>
      <c r="C19" s="24">
        <f>'Assumptions (Budget)'!C24</f>
        <v>120000</v>
      </c>
      <c r="D19" s="24">
        <f>'Assumptions (Budget)'!D24</f>
        <v>120000</v>
      </c>
      <c r="E19" s="42">
        <f t="shared" ref="E19:E31" si="1">B19+C19+D19</f>
        <v>360000</v>
      </c>
      <c r="F19" s="50">
        <f>IFERROR(B19/B11,0)</f>
        <v>0.39118507529483915</v>
      </c>
      <c r="G19" s="50">
        <f>IFERROR(C19/C11,0)</f>
        <v>0.33081499638579942</v>
      </c>
      <c r="H19" s="50">
        <f>IFERROR(D19/D11,0)</f>
        <v>0.26108187461211091</v>
      </c>
    </row>
    <row r="20" spans="1:8" ht="15" customHeight="1" x14ac:dyDescent="0.25">
      <c r="A20" s="6" t="s">
        <v>98</v>
      </c>
      <c r="B20" s="24">
        <f>'Assumptions (Budget)'!B25</f>
        <v>80000</v>
      </c>
      <c r="C20" s="24">
        <f>'Assumptions (Budget)'!C25</f>
        <v>80000</v>
      </c>
      <c r="D20" s="24">
        <f>'Assumptions (Budget)'!D25</f>
        <v>80000</v>
      </c>
      <c r="E20" s="42">
        <f t="shared" si="1"/>
        <v>240000</v>
      </c>
      <c r="F20" s="50">
        <f>IFERROR(B20/B11,0)</f>
        <v>0.26079005019655943</v>
      </c>
      <c r="G20" s="50">
        <f>IFERROR(C20/C11,0)</f>
        <v>0.22054333092386627</v>
      </c>
      <c r="H20" s="50">
        <f>IFERROR(D20/D11,0)</f>
        <v>0.17405458307474059</v>
      </c>
    </row>
    <row r="21" spans="1:8" ht="15" customHeight="1" x14ac:dyDescent="0.25">
      <c r="A21" s="6" t="s">
        <v>66</v>
      </c>
      <c r="B21" s="24">
        <f>'Assumptions (Budget)'!B26</f>
        <v>60000</v>
      </c>
      <c r="C21" s="24">
        <f>'Assumptions (Budget)'!C26</f>
        <v>60000</v>
      </c>
      <c r="D21" s="24">
        <f>'Assumptions (Budget)'!D26</f>
        <v>60000</v>
      </c>
      <c r="E21" s="42">
        <f t="shared" si="1"/>
        <v>180000</v>
      </c>
      <c r="F21" s="50">
        <f>IFERROR(B21/B11,0)</f>
        <v>0.19559253764741957</v>
      </c>
      <c r="G21" s="50">
        <f>IFERROR(C21/C11,0)</f>
        <v>0.16540749819289971</v>
      </c>
      <c r="H21" s="50">
        <f>IFERROR(D21/D11,0)</f>
        <v>0.13054093730605545</v>
      </c>
    </row>
    <row r="22" spans="1:8" ht="15" customHeight="1" x14ac:dyDescent="0.25">
      <c r="A22" s="6" t="s">
        <v>68</v>
      </c>
      <c r="B22" s="24">
        <f>'Assumptions (Budget)'!B27</f>
        <v>30000</v>
      </c>
      <c r="C22" s="24">
        <f>'Assumptions (Budget)'!C27</f>
        <v>30000</v>
      </c>
      <c r="D22" s="24">
        <f>'Assumptions (Budget)'!D27</f>
        <v>30000</v>
      </c>
      <c r="E22" s="42">
        <f t="shared" si="1"/>
        <v>90000</v>
      </c>
      <c r="F22" s="50">
        <f>IFERROR(B22/B11,0)</f>
        <v>9.7796268823709787E-2</v>
      </c>
      <c r="G22" s="50">
        <f>IFERROR(C22/C11,0)</f>
        <v>8.2703749096449855E-2</v>
      </c>
      <c r="H22" s="50">
        <f>IFERROR(D22/D11,0)</f>
        <v>6.5270468653027727E-2</v>
      </c>
    </row>
    <row r="23" spans="1:8" ht="15" customHeight="1" x14ac:dyDescent="0.25">
      <c r="A23" s="6" t="s">
        <v>99</v>
      </c>
      <c r="B23" s="24">
        <f>'Assumptions (Budget)'!B28</f>
        <v>25000</v>
      </c>
      <c r="C23" s="24">
        <f>'Assumptions (Budget)'!C28</f>
        <v>25000</v>
      </c>
      <c r="D23" s="24">
        <f>'Assumptions (Budget)'!D28</f>
        <v>25000</v>
      </c>
      <c r="E23" s="42">
        <f t="shared" si="1"/>
        <v>75000</v>
      </c>
      <c r="F23" s="50">
        <f>IFERROR(B23/B11,0)</f>
        <v>8.1496890686424822E-2</v>
      </c>
      <c r="G23" s="50">
        <f>IFERROR(C23/C11,0)</f>
        <v>6.8919790913708215E-2</v>
      </c>
      <c r="H23" s="50">
        <f>IFERROR(D23/D11,0)</f>
        <v>5.4392057210856437E-2</v>
      </c>
    </row>
    <row r="24" spans="1:8" ht="15" customHeight="1" x14ac:dyDescent="0.25">
      <c r="A24" s="6" t="s">
        <v>70</v>
      </c>
      <c r="B24" s="24">
        <f>'Assumptions (Budget)'!B29</f>
        <v>70000</v>
      </c>
      <c r="C24" s="24">
        <f>'Assumptions (Budget)'!C29</f>
        <v>75000</v>
      </c>
      <c r="D24" s="24">
        <f>'Assumptions (Budget)'!D29</f>
        <v>80000</v>
      </c>
      <c r="E24" s="42">
        <f t="shared" si="1"/>
        <v>225000</v>
      </c>
      <c r="F24" s="50">
        <f>IFERROR(B24/B11,0)</f>
        <v>0.2281912939219895</v>
      </c>
      <c r="G24" s="50">
        <f>IFERROR(C24/C11,0)</f>
        <v>0.20675937274112463</v>
      </c>
      <c r="H24" s="50">
        <f>IFERROR(D24/D11,0)</f>
        <v>0.17405458307474059</v>
      </c>
    </row>
    <row r="25" spans="1:8" ht="15" customHeight="1" x14ac:dyDescent="0.25">
      <c r="A25" s="6" t="s">
        <v>72</v>
      </c>
      <c r="B25" s="24">
        <f>'Assumptions (Budget)'!B30</f>
        <v>10000</v>
      </c>
      <c r="C25" s="24">
        <f>'Assumptions (Budget)'!C30</f>
        <v>12000</v>
      </c>
      <c r="D25" s="24">
        <f>'Assumptions (Budget)'!D30</f>
        <v>15000</v>
      </c>
      <c r="E25" s="42">
        <f t="shared" si="1"/>
        <v>37000</v>
      </c>
      <c r="F25" s="50">
        <f>IFERROR(B25/B11,0)</f>
        <v>3.2598756274569929E-2</v>
      </c>
      <c r="G25" s="50">
        <f>IFERROR(C25/C11,0)</f>
        <v>3.3081499638579939E-2</v>
      </c>
      <c r="H25" s="50">
        <f>IFERROR(D25/D11,0)</f>
        <v>3.2635234326513864E-2</v>
      </c>
    </row>
    <row r="26" spans="1:8" ht="15" customHeight="1" x14ac:dyDescent="0.25">
      <c r="A26" s="6" t="s">
        <v>100</v>
      </c>
      <c r="B26" s="24">
        <f>'Assumptions (Budget)'!B31</f>
        <v>18000</v>
      </c>
      <c r="C26" s="24">
        <f>'Assumptions (Budget)'!C31</f>
        <v>18000</v>
      </c>
      <c r="D26" s="24">
        <f>'Assumptions (Budget)'!D31</f>
        <v>18000</v>
      </c>
      <c r="E26" s="42">
        <f t="shared" si="1"/>
        <v>54000</v>
      </c>
      <c r="F26" s="50">
        <f>IFERROR(B26/B11,0)</f>
        <v>5.8677761294225875E-2</v>
      </c>
      <c r="G26" s="50">
        <f>IFERROR(C26/C11,0)</f>
        <v>4.9622249457869916E-2</v>
      </c>
      <c r="H26" s="50">
        <f>IFERROR(D26/D11,0)</f>
        <v>3.9162281191816632E-2</v>
      </c>
    </row>
    <row r="27" spans="1:8" ht="15" customHeight="1" x14ac:dyDescent="0.25">
      <c r="A27" s="6" t="s">
        <v>101</v>
      </c>
      <c r="B27" s="24">
        <f>'Assumptions (Budget)'!B32</f>
        <v>15000</v>
      </c>
      <c r="C27" s="24">
        <f>'Assumptions (Budget)'!C32</f>
        <v>15000</v>
      </c>
      <c r="D27" s="24">
        <f>'Assumptions (Budget)'!D32</f>
        <v>15000</v>
      </c>
      <c r="E27" s="42">
        <f t="shared" si="1"/>
        <v>45000</v>
      </c>
      <c r="F27" s="50">
        <f>IFERROR(B27/B11,0)</f>
        <v>4.8898134411854893E-2</v>
      </c>
      <c r="G27" s="50">
        <f>IFERROR(C27/C11,0)</f>
        <v>4.1351874548224928E-2</v>
      </c>
      <c r="H27" s="50">
        <f>IFERROR(D27/D11,0)</f>
        <v>3.2635234326513864E-2</v>
      </c>
    </row>
    <row r="28" spans="1:8" ht="15" customHeight="1" x14ac:dyDescent="0.25">
      <c r="A28" s="6" t="s">
        <v>102</v>
      </c>
      <c r="B28" s="24">
        <f>'Assumptions (Budget)'!B33</f>
        <v>8000</v>
      </c>
      <c r="C28" s="24">
        <f>'Assumptions (Budget)'!C33</f>
        <v>8000</v>
      </c>
      <c r="D28" s="24">
        <f>'Assumptions (Budget)'!D33</f>
        <v>8000</v>
      </c>
      <c r="E28" s="42">
        <f t="shared" si="1"/>
        <v>24000</v>
      </c>
      <c r="F28" s="50">
        <f>IFERROR(B28/B11,0)</f>
        <v>2.6079005019655942E-2</v>
      </c>
      <c r="G28" s="50">
        <f>IFERROR(C28/C11,0)</f>
        <v>2.2054333092386628E-2</v>
      </c>
      <c r="H28" s="50">
        <f>IFERROR(D28/D11,0)</f>
        <v>1.7405458307474059E-2</v>
      </c>
    </row>
    <row r="29" spans="1:8" ht="15" customHeight="1" x14ac:dyDescent="0.25">
      <c r="A29" s="6" t="s">
        <v>103</v>
      </c>
      <c r="B29" s="24">
        <f>'Assumptions (Budget)'!B34</f>
        <v>5000</v>
      </c>
      <c r="C29" s="24">
        <f>'Assumptions (Budget)'!C34</f>
        <v>5000</v>
      </c>
      <c r="D29" s="24">
        <f>'Assumptions (Budget)'!D34</f>
        <v>5000</v>
      </c>
      <c r="E29" s="42">
        <f t="shared" si="1"/>
        <v>15000</v>
      </c>
      <c r="F29" s="50">
        <f>IFERROR(B29/B11,0)</f>
        <v>1.6299378137284964E-2</v>
      </c>
      <c r="G29" s="50">
        <f>IFERROR(C29/C11,0)</f>
        <v>1.3783958182741642E-2</v>
      </c>
      <c r="H29" s="50">
        <f>IFERROR(D29/D11,0)</f>
        <v>1.0878411442171287E-2</v>
      </c>
    </row>
    <row r="30" spans="1:8" ht="15" customHeight="1" x14ac:dyDescent="0.25">
      <c r="A30" s="65" t="s">
        <v>63</v>
      </c>
      <c r="B30" s="14">
        <f>SUM(B19:B29)</f>
        <v>441000</v>
      </c>
      <c r="C30" s="14">
        <f>SUM(C19:C29)</f>
        <v>448000</v>
      </c>
      <c r="D30" s="14">
        <f>SUM(D19:D29)</f>
        <v>456000</v>
      </c>
      <c r="E30" s="66">
        <f t="shared" si="1"/>
        <v>1345000</v>
      </c>
      <c r="F30" s="70">
        <f>IFERROR(B30/B11,0)</f>
        <v>1.4376051517085338</v>
      </c>
      <c r="G30" s="70">
        <f>IFERROR(C30/C11,0)</f>
        <v>1.2350426531736511</v>
      </c>
      <c r="H30" s="70">
        <f>IFERROR(D30/D11,0)</f>
        <v>0.99211112352602138</v>
      </c>
    </row>
    <row r="31" spans="1:8" ht="15" customHeight="1" x14ac:dyDescent="0.25">
      <c r="A31" s="65" t="s">
        <v>104</v>
      </c>
      <c r="B31" s="14">
        <f>B17-B30</f>
        <v>-458619.83050847455</v>
      </c>
      <c r="C31" s="14">
        <f>C17-C30</f>
        <v>-433039.49152542371</v>
      </c>
      <c r="D31" s="14">
        <f>D17-D30</f>
        <v>-418434.06779661018</v>
      </c>
      <c r="E31" s="66">
        <f t="shared" si="1"/>
        <v>-1310093.3898305083</v>
      </c>
      <c r="F31" s="70">
        <f>IFERROR(B31/B11,0)</f>
        <v>-1.4950436077430331</v>
      </c>
      <c r="G31" s="70">
        <f>IFERROR(C31/C11,0)</f>
        <v>-1.1937996485324289</v>
      </c>
      <c r="H31" s="70">
        <f>IFERROR(D31/D11,0)</f>
        <v>-0.91037959018258408</v>
      </c>
    </row>
    <row r="32" spans="1:8" ht="15.75" customHeight="1" x14ac:dyDescent="0.25">
      <c r="A32" s="98" t="s">
        <v>118</v>
      </c>
      <c r="B32" s="98"/>
      <c r="C32" s="98"/>
      <c r="D32" s="98"/>
      <c r="E32" s="98"/>
      <c r="F32" s="98"/>
      <c r="G32" s="98"/>
      <c r="H32" s="98"/>
    </row>
    <row r="33" spans="1:8" ht="15" customHeight="1" x14ac:dyDescent="0.25">
      <c r="A33" s="6" t="s">
        <v>106</v>
      </c>
      <c r="B33" s="24">
        <f>'Assumptions (Budget)'!B39</f>
        <v>3500</v>
      </c>
      <c r="C33" s="24">
        <f>'Assumptions (Budget)'!C39</f>
        <v>3500</v>
      </c>
      <c r="D33" s="24">
        <f>'Assumptions (Budget)'!D39</f>
        <v>3500</v>
      </c>
      <c r="E33" s="42">
        <f>B33+C33+D33</f>
        <v>10500</v>
      </c>
      <c r="F33" s="28"/>
      <c r="G33" s="28"/>
      <c r="H33" s="28"/>
    </row>
    <row r="34" spans="1:8" ht="15" customHeight="1" x14ac:dyDescent="0.25">
      <c r="A34" s="6" t="s">
        <v>107</v>
      </c>
      <c r="B34" s="24">
        <f>'Assumptions (Budget)'!B38</f>
        <v>12500</v>
      </c>
      <c r="C34" s="24">
        <f>'Assumptions (Budget)'!C38</f>
        <v>12500</v>
      </c>
      <c r="D34" s="24">
        <f>'Assumptions (Budget)'!D38</f>
        <v>12500</v>
      </c>
      <c r="E34" s="42">
        <f>B34+C34+D34</f>
        <v>37500</v>
      </c>
      <c r="F34" s="28"/>
      <c r="G34" s="28"/>
      <c r="H34" s="28"/>
    </row>
    <row r="35" spans="1:8" ht="15" customHeight="1" x14ac:dyDescent="0.25">
      <c r="A35" s="71" t="s">
        <v>108</v>
      </c>
      <c r="B35" s="59">
        <f>SUM(B33:B34)</f>
        <v>16000</v>
      </c>
      <c r="C35" s="59">
        <f>SUM(C33:C34)</f>
        <v>16000</v>
      </c>
      <c r="D35" s="59">
        <f>SUM(D33:D34)</f>
        <v>16000</v>
      </c>
      <c r="E35" s="66">
        <f>B35+C35+D35</f>
        <v>48000</v>
      </c>
      <c r="F35" s="60">
        <f>IFERROR(B35/B11,0)</f>
        <v>5.2158010039311885E-2</v>
      </c>
      <c r="G35" s="60">
        <f>IFERROR(C35/C11,0)</f>
        <v>4.4108666184773257E-2</v>
      </c>
      <c r="H35" s="60">
        <f>IFERROR(D35/D11,0)</f>
        <v>3.4810916614948118E-2</v>
      </c>
    </row>
    <row r="36" spans="1:8" ht="15" customHeight="1" x14ac:dyDescent="0.25">
      <c r="A36" s="65" t="s">
        <v>119</v>
      </c>
      <c r="B36" s="14">
        <f>B31-B35</f>
        <v>-474619.83050847455</v>
      </c>
      <c r="C36" s="14">
        <f>C31-C35</f>
        <v>-449039.49152542371</v>
      </c>
      <c r="D36" s="14">
        <f>D31-D35</f>
        <v>-434434.06779661018</v>
      </c>
      <c r="E36" s="66">
        <f>B36+C36+D36</f>
        <v>-1358093.3898305083</v>
      </c>
      <c r="F36" s="70">
        <f>IFERROR(B36/B11,0)</f>
        <v>-1.5472016177823451</v>
      </c>
      <c r="G36" s="70">
        <f>IFERROR(C36/C11,0)</f>
        <v>-1.2379083147172021</v>
      </c>
      <c r="H36" s="70">
        <f>IFERROR(D36/D11,0)</f>
        <v>-0.94519050679753214</v>
      </c>
    </row>
    <row r="38" spans="1:8" ht="13.5" customHeight="1" x14ac:dyDescent="0.25">
      <c r="A38" s="95" t="s">
        <v>232</v>
      </c>
      <c r="B38" s="95"/>
      <c r="C38" s="95"/>
      <c r="D38" s="95"/>
      <c r="E38" s="96" t="s">
        <v>35</v>
      </c>
      <c r="F38" s="96"/>
      <c r="G38" s="96"/>
      <c r="H38" s="96"/>
    </row>
  </sheetData>
  <mergeCells count="8">
    <mergeCell ref="A32:H32"/>
    <mergeCell ref="A38:D38"/>
    <mergeCell ref="E38:H38"/>
    <mergeCell ref="A1:H1"/>
    <mergeCell ref="A2:H2"/>
    <mergeCell ref="A4:H4"/>
    <mergeCell ref="A12:H12"/>
    <mergeCell ref="A18:H18"/>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topLeftCell="A7" zoomScaleNormal="100" workbookViewId="0">
      <selection activeCell="L33" sqref="L33"/>
    </sheetView>
  </sheetViews>
  <sheetFormatPr defaultColWidth="8.7109375" defaultRowHeight="15" x14ac:dyDescent="0.25"/>
  <cols>
    <col min="1" max="1" width="36" customWidth="1"/>
    <col min="2" max="4" width="14" customWidth="1"/>
    <col min="5" max="5" width="16" customWidth="1"/>
    <col min="6" max="8" width="10" customWidth="1"/>
  </cols>
  <sheetData>
    <row r="1" spans="1:8" ht="30" customHeight="1" x14ac:dyDescent="0.25">
      <c r="A1" s="91" t="s">
        <v>77</v>
      </c>
      <c r="B1" s="91"/>
      <c r="C1" s="91"/>
      <c r="D1" s="91"/>
      <c r="E1" s="91"/>
      <c r="F1" s="91"/>
      <c r="G1" s="91"/>
      <c r="H1" s="91"/>
    </row>
    <row r="2" spans="1:8" ht="15.75" customHeight="1" x14ac:dyDescent="0.25">
      <c r="A2" s="92" t="s">
        <v>78</v>
      </c>
      <c r="B2" s="92"/>
      <c r="C2" s="92"/>
      <c r="D2" s="92"/>
      <c r="E2" s="92"/>
      <c r="F2" s="92"/>
      <c r="G2" s="92"/>
      <c r="H2" s="92"/>
    </row>
    <row r="3" spans="1:8" ht="18" customHeight="1" x14ac:dyDescent="0.25">
      <c r="A3" s="1" t="s">
        <v>79</v>
      </c>
      <c r="B3" s="2" t="s">
        <v>80</v>
      </c>
      <c r="C3" s="2" t="s">
        <v>81</v>
      </c>
      <c r="D3" s="2" t="s">
        <v>82</v>
      </c>
      <c r="E3" s="3" t="s">
        <v>83</v>
      </c>
      <c r="F3" s="5" t="s">
        <v>84</v>
      </c>
      <c r="G3" s="5" t="s">
        <v>85</v>
      </c>
      <c r="H3" s="5" t="s">
        <v>86</v>
      </c>
    </row>
    <row r="4" spans="1:8" ht="15.75" customHeight="1" x14ac:dyDescent="0.25">
      <c r="A4" s="100" t="s">
        <v>87</v>
      </c>
      <c r="B4" s="100"/>
      <c r="C4" s="100"/>
      <c r="D4" s="100"/>
      <c r="E4" s="100"/>
      <c r="F4" s="100"/>
      <c r="G4" s="100"/>
      <c r="H4" s="100"/>
    </row>
    <row r="5" spans="1:8" ht="15" customHeight="1" x14ac:dyDescent="0.25">
      <c r="A5" s="6" t="s">
        <v>88</v>
      </c>
      <c r="B5" s="7">
        <f>'Assumptions (Actual)'!B6*'Assumptions (Actual)'!B5</f>
        <v>4680</v>
      </c>
      <c r="C5" s="7">
        <f>'Assumptions (Actual)'!C6*'Assumptions (Actual)'!C5</f>
        <v>4800</v>
      </c>
      <c r="D5" s="7">
        <f>'Assumptions (Actual)'!D6*'Assumptions (Actual)'!D5</f>
        <v>5980</v>
      </c>
      <c r="E5" s="48">
        <f t="shared" ref="E5:E11" si="0">B5+C5+D5</f>
        <v>15460</v>
      </c>
      <c r="F5" s="28"/>
      <c r="G5" s="28"/>
      <c r="H5" s="28"/>
    </row>
    <row r="6" spans="1:8" ht="15" customHeight="1" x14ac:dyDescent="0.25">
      <c r="A6" s="6" t="s">
        <v>89</v>
      </c>
      <c r="B6" s="24">
        <f>('Assumptions (Actual)'!B6*'Assumptions (Actual)'!B5*'Assumptions (Actual)'!B7*'Assumptions (Actual)'!B8)/(1+'Assumptions (Actual)'!B36)</f>
        <v>89237.288135593219</v>
      </c>
      <c r="C6" s="24">
        <f>('Assumptions (Actual)'!C6*'Assumptions (Actual)'!C5*'Assumptions (Actual)'!C7*'Assumptions (Actual)'!C8)/(1+'Assumptions (Actual)'!C36)</f>
        <v>92745.762711864416</v>
      </c>
      <c r="D6" s="24">
        <f>('Assumptions (Actual)'!D6*'Assumptions (Actual)'!D5*'Assumptions (Actual)'!D7*'Assumptions (Actual)'!D8)/(1+'Assumptions (Actual)'!D36)</f>
        <v>117826.27118644069</v>
      </c>
      <c r="E6" s="42">
        <f t="shared" si="0"/>
        <v>299809.32203389832</v>
      </c>
      <c r="F6" s="28"/>
      <c r="G6" s="28"/>
      <c r="H6" s="28"/>
    </row>
    <row r="7" spans="1:8" ht="15" customHeight="1" x14ac:dyDescent="0.25">
      <c r="A7" s="6" t="s">
        <v>90</v>
      </c>
      <c r="B7" s="24">
        <f>'Assumptions (Actual)'!B15*'Assumptions (Actual)'!B16*'Assumptions (Actual)'!B17</f>
        <v>0</v>
      </c>
      <c r="C7" s="24">
        <f>'Assumptions (Actual)'!C15*'Assumptions (Actual)'!C16*'Assumptions (Actual)'!C17</f>
        <v>3840</v>
      </c>
      <c r="D7" s="24">
        <f>'Assumptions (Actual)'!D15*'Assumptions (Actual)'!D16*'Assumptions (Actual)'!D17</f>
        <v>7680</v>
      </c>
      <c r="E7" s="42">
        <f t="shared" si="0"/>
        <v>11520</v>
      </c>
      <c r="F7" s="28"/>
      <c r="G7" s="28"/>
      <c r="H7" s="28"/>
    </row>
    <row r="8" spans="1:8" ht="15" customHeight="1" x14ac:dyDescent="0.25">
      <c r="A8" s="6" t="s">
        <v>91</v>
      </c>
      <c r="B8" s="24">
        <f>'Assumptions (Actual)'!B9*(1-'Assumptions (Actual)'!B37) *'Assumptions (Actual)'!B10</f>
        <v>86400</v>
      </c>
      <c r="C8" s="24">
        <f>'Assumptions (Actual)'!C9*(1-'Assumptions (Actual)'!C37) *'Assumptions (Actual)'!C10</f>
        <v>108000</v>
      </c>
      <c r="D8" s="24">
        <f>'Assumptions (Actual)'!D9*(1-'Assumptions (Actual)'!D37) *'Assumptions (Actual)'!D10</f>
        <v>151200</v>
      </c>
      <c r="E8" s="42">
        <f t="shared" si="0"/>
        <v>345600</v>
      </c>
      <c r="F8" s="28"/>
      <c r="G8" s="28"/>
      <c r="H8" s="28"/>
    </row>
    <row r="9" spans="1:8" ht="15" customHeight="1" x14ac:dyDescent="0.25">
      <c r="A9" s="6" t="s">
        <v>92</v>
      </c>
      <c r="B9" s="24">
        <f>'Assumptions (Actual)'!B11*'Assumptions (Actual)'!B12</f>
        <v>55720</v>
      </c>
      <c r="C9" s="24">
        <f>'Assumptions (Actual)'!C11*'Assumptions (Actual)'!C12</f>
        <v>69650</v>
      </c>
      <c r="D9" s="24">
        <f>'Assumptions (Actual)'!D11*'Assumptions (Actual)'!D12</f>
        <v>83580</v>
      </c>
      <c r="E9" s="42">
        <f t="shared" si="0"/>
        <v>208950</v>
      </c>
      <c r="F9" s="28"/>
      <c r="G9" s="28"/>
      <c r="H9" s="28"/>
    </row>
    <row r="10" spans="1:8" ht="15" customHeight="1" x14ac:dyDescent="0.25">
      <c r="A10" s="6" t="s">
        <v>53</v>
      </c>
      <c r="B10" s="24">
        <f>'Assumptions (Actual)'!B14</f>
        <v>18000</v>
      </c>
      <c r="C10" s="24">
        <f>'Assumptions (Actual)'!C14</f>
        <v>20000</v>
      </c>
      <c r="D10" s="24">
        <f>'Assumptions (Actual)'!D14</f>
        <v>22000</v>
      </c>
      <c r="E10" s="42">
        <f t="shared" si="0"/>
        <v>60000</v>
      </c>
      <c r="F10" s="28"/>
      <c r="G10" s="28"/>
      <c r="H10" s="28"/>
    </row>
    <row r="11" spans="1:8" ht="15" customHeight="1" x14ac:dyDescent="0.25">
      <c r="A11" s="11" t="s">
        <v>42</v>
      </c>
      <c r="B11" s="12">
        <f>SUM(B6:B10)</f>
        <v>249357.28813559323</v>
      </c>
      <c r="C11" s="12">
        <f>SUM(C6:C10)</f>
        <v>294235.76271186443</v>
      </c>
      <c r="D11" s="12">
        <f>SUM(D6:D10)</f>
        <v>382286.27118644072</v>
      </c>
      <c r="E11" s="13">
        <f t="shared" si="0"/>
        <v>925879.32203389844</v>
      </c>
      <c r="F11" s="49"/>
      <c r="G11" s="49"/>
      <c r="H11" s="49"/>
    </row>
    <row r="12" spans="1:8" ht="15.75" customHeight="1" x14ac:dyDescent="0.25">
      <c r="A12" s="100" t="s">
        <v>93</v>
      </c>
      <c r="B12" s="100"/>
      <c r="C12" s="100"/>
      <c r="D12" s="100"/>
      <c r="E12" s="100"/>
      <c r="F12" s="100"/>
      <c r="G12" s="100"/>
      <c r="H12" s="100"/>
    </row>
    <row r="13" spans="1:8" ht="15" customHeight="1" x14ac:dyDescent="0.25">
      <c r="A13" s="6" t="s">
        <v>94</v>
      </c>
      <c r="B13" s="24">
        <f>B5*'Assumptions (Actual)'!B19</f>
        <v>234000</v>
      </c>
      <c r="C13" s="24">
        <f>C5*'Assumptions (Actual)'!C19</f>
        <v>240000</v>
      </c>
      <c r="D13" s="24">
        <f>D5*'Assumptions (Actual)'!D19</f>
        <v>287040</v>
      </c>
      <c r="E13" s="42">
        <f>B13+C13+D13</f>
        <v>761040</v>
      </c>
      <c r="F13" s="50">
        <f>IFERROR(B13/B11,0)</f>
        <v>0.93841251542949733</v>
      </c>
      <c r="G13" s="50">
        <f>IFERROR(C13/C11,0)</f>
        <v>0.81567243148149959</v>
      </c>
      <c r="H13" s="50">
        <f>IFERROR(D13/D11,0)</f>
        <v>0.75085092412332755</v>
      </c>
    </row>
    <row r="14" spans="1:8" ht="15" customHeight="1" x14ac:dyDescent="0.25">
      <c r="A14" s="6" t="s">
        <v>95</v>
      </c>
      <c r="B14" s="24">
        <f>B5*'Assumptions (Actual)'!B20</f>
        <v>14040</v>
      </c>
      <c r="C14" s="24">
        <f>C5*'Assumptions (Actual)'!C20</f>
        <v>14400</v>
      </c>
      <c r="D14" s="24">
        <f>D5*'Assumptions (Actual)'!D20</f>
        <v>17940</v>
      </c>
      <c r="E14" s="42">
        <f>B14+C14+D14</f>
        <v>46380</v>
      </c>
      <c r="F14" s="50">
        <f>IFERROR(B14/B11,0)</f>
        <v>5.6304750925769843E-2</v>
      </c>
      <c r="G14" s="50">
        <f>IFERROR(C14/C11,0)</f>
        <v>4.8940345888889972E-2</v>
      </c>
      <c r="H14" s="50">
        <f>IFERROR(D14/D11,0)</f>
        <v>4.6928182757707972E-2</v>
      </c>
    </row>
    <row r="15" spans="1:8" ht="15" customHeight="1" x14ac:dyDescent="0.25">
      <c r="A15" s="6" t="s">
        <v>59</v>
      </c>
      <c r="B15" s="24">
        <f>'Assumptions (Actual)'!B22*'Assumptions (Actual)'!B21</f>
        <v>30000</v>
      </c>
      <c r="C15" s="24">
        <f>'Assumptions (Actual)'!C22*'Assumptions (Actual)'!C21</f>
        <v>37500</v>
      </c>
      <c r="D15" s="24">
        <f>'Assumptions (Actual)'!D22*'Assumptions (Actual)'!D21</f>
        <v>36000</v>
      </c>
      <c r="E15" s="42">
        <f>B15+C15+D15</f>
        <v>103500</v>
      </c>
      <c r="F15" s="50">
        <f>IFERROR(B15/B11,0)</f>
        <v>0.12030929684993556</v>
      </c>
      <c r="G15" s="50">
        <f>IFERROR(C15/C11,0)</f>
        <v>0.12744881741898431</v>
      </c>
      <c r="H15" s="50">
        <f>IFERROR(D15/D11,0)</f>
        <v>9.4170266403427363E-2</v>
      </c>
    </row>
    <row r="16" spans="1:8" ht="15" customHeight="1" x14ac:dyDescent="0.25">
      <c r="A16" s="51" t="s">
        <v>55</v>
      </c>
      <c r="B16" s="52">
        <f>SUM(B13:B15)</f>
        <v>278040</v>
      </c>
      <c r="C16" s="52">
        <f>SUM(C13:C15)</f>
        <v>291900</v>
      </c>
      <c r="D16" s="52">
        <f>SUM(D13:D15)</f>
        <v>340980</v>
      </c>
      <c r="E16" s="13">
        <f>B16+C16+D16</f>
        <v>910920</v>
      </c>
      <c r="F16" s="53">
        <f>IFERROR(B16/B11,0)</f>
        <v>1.1150265632052028</v>
      </c>
      <c r="G16" s="53">
        <f>IFERROR(C16/C11,0)</f>
        <v>0.99206159478937384</v>
      </c>
      <c r="H16" s="53">
        <f>IFERROR(D16/D11,0)</f>
        <v>0.89194937328446289</v>
      </c>
    </row>
    <row r="17" spans="1:8" ht="15" customHeight="1" x14ac:dyDescent="0.25">
      <c r="A17" s="54" t="s">
        <v>61</v>
      </c>
      <c r="B17" s="55">
        <f>B11-B16</f>
        <v>-28682.711864406767</v>
      </c>
      <c r="C17" s="55">
        <f>C11-C16</f>
        <v>2335.7627118644305</v>
      </c>
      <c r="D17" s="55">
        <f>D11-D16</f>
        <v>41306.271186440717</v>
      </c>
      <c r="E17" s="13">
        <f>B17+C17+D17</f>
        <v>14959.322033898381</v>
      </c>
      <c r="F17" s="56">
        <f>IFERROR(B17/B11,0)</f>
        <v>-0.11502656320520274</v>
      </c>
      <c r="G17" s="56">
        <f>IFERROR(C17/C11,0)</f>
        <v>7.9384052106261718E-3</v>
      </c>
      <c r="H17" s="56">
        <f>IFERROR(D17/D11,0)</f>
        <v>0.10805062671553717</v>
      </c>
    </row>
    <row r="18" spans="1:8" ht="15.75" customHeight="1" x14ac:dyDescent="0.25">
      <c r="A18" s="100" t="s">
        <v>96</v>
      </c>
      <c r="B18" s="100"/>
      <c r="C18" s="100"/>
      <c r="D18" s="100"/>
      <c r="E18" s="100"/>
      <c r="F18" s="100"/>
      <c r="G18" s="100"/>
      <c r="H18" s="100"/>
    </row>
    <row r="19" spans="1:8" ht="15" customHeight="1" x14ac:dyDescent="0.25">
      <c r="A19" s="6" t="s">
        <v>97</v>
      </c>
      <c r="B19" s="24">
        <f>'Assumptions (Actual)'!B24</f>
        <v>120000</v>
      </c>
      <c r="C19" s="24">
        <f>'Assumptions (Actual)'!C24</f>
        <v>120000</v>
      </c>
      <c r="D19" s="24">
        <f>'Assumptions (Actual)'!D24</f>
        <v>120000</v>
      </c>
      <c r="E19" s="42">
        <f t="shared" ref="E19:E31" si="1">B19+C19+D19</f>
        <v>360000</v>
      </c>
      <c r="F19" s="50">
        <f>IFERROR(B19/B11,0)</f>
        <v>0.48123718739974225</v>
      </c>
      <c r="G19" s="50">
        <f>IFERROR(C19/C11,0)</f>
        <v>0.4078362157407498</v>
      </c>
      <c r="H19" s="50">
        <f>IFERROR(D19/D11,0)</f>
        <v>0.31390088801142452</v>
      </c>
    </row>
    <row r="20" spans="1:8" ht="15" customHeight="1" x14ac:dyDescent="0.25">
      <c r="A20" s="6" t="s">
        <v>98</v>
      </c>
      <c r="B20" s="24">
        <f>'Assumptions (Actual)'!B25</f>
        <v>80000</v>
      </c>
      <c r="C20" s="24">
        <f>'Assumptions (Actual)'!C25</f>
        <v>80000</v>
      </c>
      <c r="D20" s="24">
        <f>'Assumptions (Actual)'!D25</f>
        <v>80000</v>
      </c>
      <c r="E20" s="42">
        <f t="shared" si="1"/>
        <v>240000</v>
      </c>
      <c r="F20" s="50">
        <f>IFERROR(B20/B11,0)</f>
        <v>0.32082479159982813</v>
      </c>
      <c r="G20" s="50">
        <f>IFERROR(C20/C11,0)</f>
        <v>0.27189081049383318</v>
      </c>
      <c r="H20" s="50">
        <f>IFERROR(D20/D11,0)</f>
        <v>0.20926725867428303</v>
      </c>
    </row>
    <row r="21" spans="1:8" ht="15" customHeight="1" x14ac:dyDescent="0.25">
      <c r="A21" s="6" t="s">
        <v>66</v>
      </c>
      <c r="B21" s="24">
        <f>'Assumptions (Actual)'!B26</f>
        <v>60000</v>
      </c>
      <c r="C21" s="24">
        <f>'Assumptions (Actual)'!C26</f>
        <v>60000</v>
      </c>
      <c r="D21" s="24">
        <f>'Assumptions (Actual)'!D26</f>
        <v>75000</v>
      </c>
      <c r="E21" s="42">
        <f t="shared" si="1"/>
        <v>195000</v>
      </c>
      <c r="F21" s="50">
        <f>IFERROR(B21/B11,0)</f>
        <v>0.24061859369987113</v>
      </c>
      <c r="G21" s="50">
        <f>IFERROR(C21/C11,0)</f>
        <v>0.2039181078703749</v>
      </c>
      <c r="H21" s="50">
        <f>IFERROR(D21/D11,0)</f>
        <v>0.19618805500714034</v>
      </c>
    </row>
    <row r="22" spans="1:8" ht="15" customHeight="1" x14ac:dyDescent="0.25">
      <c r="A22" s="6" t="s">
        <v>68</v>
      </c>
      <c r="B22" s="24">
        <f>'Assumptions (Actual)'!B27</f>
        <v>35000</v>
      </c>
      <c r="C22" s="24">
        <f>'Assumptions (Actual)'!C27</f>
        <v>38000</v>
      </c>
      <c r="D22" s="24">
        <f>'Assumptions (Actual)'!D27</f>
        <v>42000</v>
      </c>
      <c r="E22" s="42">
        <f t="shared" si="1"/>
        <v>115000</v>
      </c>
      <c r="F22" s="50">
        <f>IFERROR(B22/B11,0)</f>
        <v>0.14036084632492482</v>
      </c>
      <c r="G22" s="50">
        <f>IFERROR(C22/C11,0)</f>
        <v>0.12914813498457076</v>
      </c>
      <c r="H22" s="50">
        <f>IFERROR(D22/D11,0)</f>
        <v>0.10986531080399858</v>
      </c>
    </row>
    <row r="23" spans="1:8" ht="15" customHeight="1" x14ac:dyDescent="0.25">
      <c r="A23" s="6" t="s">
        <v>99</v>
      </c>
      <c r="B23" s="24">
        <f>'Assumptions (Actual)'!B28</f>
        <v>25000</v>
      </c>
      <c r="C23" s="24">
        <f>'Assumptions (Actual)'!C28</f>
        <v>25000</v>
      </c>
      <c r="D23" s="24">
        <f>'Assumptions (Actual)'!D28</f>
        <v>25000</v>
      </c>
      <c r="E23" s="42">
        <f t="shared" si="1"/>
        <v>75000</v>
      </c>
      <c r="F23" s="50">
        <f>IFERROR(B23/B11,0)</f>
        <v>0.1002577473749463</v>
      </c>
      <c r="G23" s="50">
        <f>IFERROR(C23/C11,0)</f>
        <v>8.4965878279322865E-2</v>
      </c>
      <c r="H23" s="50">
        <f>IFERROR(D23/D11,0)</f>
        <v>6.5396018335713443E-2</v>
      </c>
    </row>
    <row r="24" spans="1:8" ht="15" customHeight="1" x14ac:dyDescent="0.25">
      <c r="A24" s="6" t="s">
        <v>70</v>
      </c>
      <c r="B24" s="24">
        <f>'Assumptions (Actual)'!B29</f>
        <v>80000</v>
      </c>
      <c r="C24" s="24">
        <f>'Assumptions (Actual)'!C29</f>
        <v>90000</v>
      </c>
      <c r="D24" s="24">
        <f>'Assumptions (Actual)'!D29</f>
        <v>100000</v>
      </c>
      <c r="E24" s="42">
        <f t="shared" si="1"/>
        <v>270000</v>
      </c>
      <c r="F24" s="50">
        <f>IFERROR(B24/B11,0)</f>
        <v>0.32082479159982813</v>
      </c>
      <c r="G24" s="50">
        <f>IFERROR(C24/C11,0)</f>
        <v>0.30587716180556235</v>
      </c>
      <c r="H24" s="50">
        <f>IFERROR(D24/D11,0)</f>
        <v>0.26158407334285377</v>
      </c>
    </row>
    <row r="25" spans="1:8" ht="15" customHeight="1" x14ac:dyDescent="0.25">
      <c r="A25" s="6" t="s">
        <v>72</v>
      </c>
      <c r="B25" s="24">
        <f>'Assumptions (Actual)'!B30</f>
        <v>15000</v>
      </c>
      <c r="C25" s="24">
        <f>'Assumptions (Actual)'!C30</f>
        <v>20000</v>
      </c>
      <c r="D25" s="24">
        <f>'Assumptions (Actual)'!D30</f>
        <v>25000</v>
      </c>
      <c r="E25" s="42">
        <f t="shared" si="1"/>
        <v>60000</v>
      </c>
      <c r="F25" s="50">
        <f>IFERROR(B25/B11,0)</f>
        <v>6.0154648424967781E-2</v>
      </c>
      <c r="G25" s="50">
        <f>IFERROR(C25/C11,0)</f>
        <v>6.7972702623458295E-2</v>
      </c>
      <c r="H25" s="50">
        <f>IFERROR(D25/D11,0)</f>
        <v>6.5396018335713443E-2</v>
      </c>
    </row>
    <row r="26" spans="1:8" ht="15" customHeight="1" x14ac:dyDescent="0.25">
      <c r="A26" s="6" t="s">
        <v>100</v>
      </c>
      <c r="B26" s="24">
        <f>'Assumptions (Actual)'!B31</f>
        <v>20000</v>
      </c>
      <c r="C26" s="24">
        <f>'Assumptions (Actual)'!C31</f>
        <v>20000</v>
      </c>
      <c r="D26" s="24">
        <f>'Assumptions (Actual)'!D31</f>
        <v>22000</v>
      </c>
      <c r="E26" s="42">
        <f t="shared" si="1"/>
        <v>62000</v>
      </c>
      <c r="F26" s="50">
        <f>IFERROR(B26/B11,0)</f>
        <v>8.0206197899957032E-2</v>
      </c>
      <c r="G26" s="50">
        <f>IFERROR(C26/C11,0)</f>
        <v>6.7972702623458295E-2</v>
      </c>
      <c r="H26" s="50">
        <f>IFERROR(D26/D11,0)</f>
        <v>5.7548496135427833E-2</v>
      </c>
    </row>
    <row r="27" spans="1:8" ht="15" customHeight="1" x14ac:dyDescent="0.25">
      <c r="A27" s="6" t="s">
        <v>101</v>
      </c>
      <c r="B27" s="24">
        <f>'Assumptions (Actual)'!B32</f>
        <v>15000</v>
      </c>
      <c r="C27" s="24">
        <f>'Assumptions (Actual)'!C32</f>
        <v>15000</v>
      </c>
      <c r="D27" s="24">
        <f>'Assumptions (Actual)'!D32</f>
        <v>15000</v>
      </c>
      <c r="E27" s="42">
        <f t="shared" si="1"/>
        <v>45000</v>
      </c>
      <c r="F27" s="50">
        <f>IFERROR(B27/B11,0)</f>
        <v>6.0154648424967781E-2</v>
      </c>
      <c r="G27" s="50">
        <f>IFERROR(C27/C11,0)</f>
        <v>5.0979526967593725E-2</v>
      </c>
      <c r="H27" s="50">
        <f>IFERROR(D27/D11,0)</f>
        <v>3.9237611001428065E-2</v>
      </c>
    </row>
    <row r="28" spans="1:8" ht="15" customHeight="1" x14ac:dyDescent="0.25">
      <c r="A28" s="6" t="s">
        <v>102</v>
      </c>
      <c r="B28" s="24">
        <f>'Assumptions (Actual)'!B33</f>
        <v>8000</v>
      </c>
      <c r="C28" s="24">
        <f>'Assumptions (Actual)'!C33</f>
        <v>8000</v>
      </c>
      <c r="D28" s="24">
        <f>'Assumptions (Actual)'!D33</f>
        <v>8000</v>
      </c>
      <c r="E28" s="42">
        <f t="shared" si="1"/>
        <v>24000</v>
      </c>
      <c r="F28" s="50">
        <f>IFERROR(B28/B11,0)</f>
        <v>3.2082479159982816E-2</v>
      </c>
      <c r="G28" s="50">
        <f>IFERROR(C28/C11,0)</f>
        <v>2.7189081049383317E-2</v>
      </c>
      <c r="H28" s="50">
        <f>IFERROR(D28/D11,0)</f>
        <v>2.0926725867428303E-2</v>
      </c>
    </row>
    <row r="29" spans="1:8" ht="15" customHeight="1" x14ac:dyDescent="0.25">
      <c r="A29" s="6" t="s">
        <v>103</v>
      </c>
      <c r="B29" s="24">
        <f>'Assumptions (Actual)'!B34</f>
        <v>5000</v>
      </c>
      <c r="C29" s="24">
        <f>'Assumptions (Actual)'!C34</f>
        <v>5000</v>
      </c>
      <c r="D29" s="24">
        <f>'Assumptions (Actual)'!D34</f>
        <v>5000</v>
      </c>
      <c r="E29" s="42">
        <f t="shared" si="1"/>
        <v>15000</v>
      </c>
      <c r="F29" s="50">
        <f>IFERROR(B29/B11,0)</f>
        <v>2.0051549474989258E-2</v>
      </c>
      <c r="G29" s="50">
        <f>IFERROR(C29/C11,0)</f>
        <v>1.6993175655864574E-2</v>
      </c>
      <c r="H29" s="50">
        <f>IFERROR(D29/D11,0)</f>
        <v>1.3079203667142689E-2</v>
      </c>
    </row>
    <row r="30" spans="1:8" ht="15" customHeight="1" x14ac:dyDescent="0.25">
      <c r="A30" s="11" t="s">
        <v>63</v>
      </c>
      <c r="B30" s="12">
        <f>SUM(B19:B29)</f>
        <v>463000</v>
      </c>
      <c r="C30" s="12">
        <f>SUM(C19:C29)</f>
        <v>481000</v>
      </c>
      <c r="D30" s="12">
        <f>SUM(D19:D29)</f>
        <v>517000</v>
      </c>
      <c r="E30" s="13">
        <f t="shared" si="1"/>
        <v>1461000</v>
      </c>
      <c r="F30" s="57">
        <f>IFERROR(B30/B11,0)</f>
        <v>1.8567734813840053</v>
      </c>
      <c r="G30" s="57">
        <f>IFERROR(C30/C11,0)</f>
        <v>1.634743498094172</v>
      </c>
      <c r="H30" s="57">
        <f>IFERROR(D30/D11,0)</f>
        <v>1.3523896591825542</v>
      </c>
    </row>
    <row r="31" spans="1:8" ht="15" customHeight="1" x14ac:dyDescent="0.25">
      <c r="A31" s="11" t="s">
        <v>104</v>
      </c>
      <c r="B31" s="12">
        <f>B17-B30</f>
        <v>-491682.71186440677</v>
      </c>
      <c r="C31" s="12">
        <f>C17-C30</f>
        <v>-478664.23728813557</v>
      </c>
      <c r="D31" s="12">
        <f>D17-D30</f>
        <v>-475693.72881355928</v>
      </c>
      <c r="E31" s="13">
        <f t="shared" si="1"/>
        <v>-1446040.6779661016</v>
      </c>
      <c r="F31" s="57">
        <f>IFERROR(B31/B11,0)</f>
        <v>-1.9718000445892081</v>
      </c>
      <c r="G31" s="57">
        <f>IFERROR(C31/C11,0)</f>
        <v>-1.6268050928835458</v>
      </c>
      <c r="H31" s="57">
        <f>IFERROR(D31/D11,0)</f>
        <v>-1.2443390324670169</v>
      </c>
    </row>
    <row r="32" spans="1:8" ht="15.75" customHeight="1" x14ac:dyDescent="0.25">
      <c r="A32" s="100" t="s">
        <v>105</v>
      </c>
      <c r="B32" s="100"/>
      <c r="C32" s="100"/>
      <c r="D32" s="100"/>
      <c r="E32" s="100"/>
      <c r="F32" s="100"/>
      <c r="G32" s="100"/>
      <c r="H32" s="100"/>
    </row>
    <row r="33" spans="1:8" ht="15" customHeight="1" x14ac:dyDescent="0.25">
      <c r="A33" s="6" t="s">
        <v>106</v>
      </c>
      <c r="B33" s="24">
        <f>'Assumptions (Actual)'!B39</f>
        <v>3500</v>
      </c>
      <c r="C33" s="24">
        <f>'Assumptions (Actual)'!C39</f>
        <v>3500</v>
      </c>
      <c r="D33" s="24">
        <f>'Assumptions (Actual)'!D39</f>
        <v>3500</v>
      </c>
      <c r="E33" s="42">
        <f>B33+C33+D33</f>
        <v>10500</v>
      </c>
      <c r="F33" s="28"/>
      <c r="G33" s="28"/>
      <c r="H33" s="28"/>
    </row>
    <row r="34" spans="1:8" ht="15" customHeight="1" x14ac:dyDescent="0.25">
      <c r="A34" s="6" t="s">
        <v>107</v>
      </c>
      <c r="B34" s="24">
        <f>'Assumptions (Actual)'!B38</f>
        <v>12500</v>
      </c>
      <c r="C34" s="24">
        <f>'Assumptions (Actual)'!C38</f>
        <v>12500</v>
      </c>
      <c r="D34" s="24">
        <f>'Assumptions (Actual)'!D38</f>
        <v>12500</v>
      </c>
      <c r="E34" s="42">
        <f>B34+C34+D34</f>
        <v>37500</v>
      </c>
      <c r="F34" s="28"/>
      <c r="G34" s="28"/>
      <c r="H34" s="28"/>
    </row>
    <row r="35" spans="1:8" ht="15" customHeight="1" x14ac:dyDescent="0.25">
      <c r="A35" s="58" t="s">
        <v>108</v>
      </c>
      <c r="B35" s="59">
        <f>SUM(B33:B34)</f>
        <v>16000</v>
      </c>
      <c r="C35" s="59">
        <f>SUM(C33:C34)</f>
        <v>16000</v>
      </c>
      <c r="D35" s="59">
        <f>SUM(D33:D34)</f>
        <v>16000</v>
      </c>
      <c r="E35" s="13">
        <f>B35+C35+D35</f>
        <v>48000</v>
      </c>
      <c r="F35" s="60">
        <f>IFERROR(B35/B11,0)</f>
        <v>6.4164958319965631E-2</v>
      </c>
      <c r="G35" s="60">
        <f>IFERROR(C35/C11,0)</f>
        <v>5.4378162098766634E-2</v>
      </c>
      <c r="H35" s="60">
        <f>IFERROR(D35/D11,0)</f>
        <v>4.1853451734856606E-2</v>
      </c>
    </row>
    <row r="36" spans="1:8" ht="15" customHeight="1" x14ac:dyDescent="0.25">
      <c r="A36" s="11" t="s">
        <v>75</v>
      </c>
      <c r="B36" s="12">
        <f>B31-B35</f>
        <v>-507682.71186440677</v>
      </c>
      <c r="C36" s="12">
        <f>C31-C35</f>
        <v>-494664.23728813557</v>
      </c>
      <c r="D36" s="12">
        <f>D31-D35</f>
        <v>-491693.72881355928</v>
      </c>
      <c r="E36" s="13">
        <f>B36+C36+D36</f>
        <v>-1494040.6779661016</v>
      </c>
      <c r="F36" s="57">
        <f>IFERROR(B36/B11,0)</f>
        <v>-2.0359650029091738</v>
      </c>
      <c r="G36" s="57">
        <f>IFERROR(C36/C11,0)</f>
        <v>-1.6811832549823125</v>
      </c>
      <c r="H36" s="57">
        <f>IFERROR(D36/D11,0)</f>
        <v>-1.2861924842018735</v>
      </c>
    </row>
    <row r="38" spans="1:8" ht="15.75" customHeight="1" x14ac:dyDescent="0.25">
      <c r="A38" s="100" t="s">
        <v>109</v>
      </c>
      <c r="B38" s="100"/>
      <c r="C38" s="100"/>
      <c r="D38" s="100"/>
      <c r="E38" s="100"/>
      <c r="F38" s="100"/>
      <c r="G38" s="100"/>
      <c r="H38" s="100"/>
    </row>
    <row r="39" spans="1:8" ht="15" customHeight="1" x14ac:dyDescent="0.25">
      <c r="A39" s="61" t="s">
        <v>11</v>
      </c>
      <c r="B39" s="17">
        <f>IFERROR(B17/B11,0)</f>
        <v>-0.11502656320520274</v>
      </c>
      <c r="C39" s="17">
        <f>IFERROR(C17/C11,0)</f>
        <v>7.9384052106261718E-3</v>
      </c>
      <c r="D39" s="17">
        <f>IFERROR(D17/D11,0)</f>
        <v>0.10805062671553717</v>
      </c>
      <c r="E39" s="62">
        <f t="shared" ref="E39:E44" si="2">AVERAGE(B39:D39)</f>
        <v>3.2082290698686361E-4</v>
      </c>
      <c r="F39" s="49"/>
      <c r="G39" s="49"/>
      <c r="H39" s="49"/>
    </row>
    <row r="40" spans="1:8" ht="15" customHeight="1" x14ac:dyDescent="0.25">
      <c r="A40" s="61" t="s">
        <v>14</v>
      </c>
      <c r="B40" s="17">
        <f>IFERROR(B31/B11,0)</f>
        <v>-1.9718000445892081</v>
      </c>
      <c r="C40" s="17">
        <f>IFERROR(C31/C11,0)</f>
        <v>-1.6268050928835458</v>
      </c>
      <c r="D40" s="17">
        <f>IFERROR(D31/D11,0)</f>
        <v>-1.2443390324670169</v>
      </c>
      <c r="E40" s="62">
        <f t="shared" si="2"/>
        <v>-1.6143147233132569</v>
      </c>
      <c r="F40" s="49"/>
      <c r="G40" s="49"/>
      <c r="H40" s="49"/>
    </row>
    <row r="41" spans="1:8" ht="15" customHeight="1" x14ac:dyDescent="0.25">
      <c r="A41" s="61" t="s">
        <v>16</v>
      </c>
      <c r="B41" s="17">
        <f>IFERROR(B36/B11,0)</f>
        <v>-2.0359650029091738</v>
      </c>
      <c r="C41" s="17">
        <f>IFERROR(C36/C11,0)</f>
        <v>-1.6811832549823125</v>
      </c>
      <c r="D41" s="17">
        <f>IFERROR(D36/D11,0)</f>
        <v>-1.2861924842018735</v>
      </c>
      <c r="E41" s="62">
        <f t="shared" si="2"/>
        <v>-1.6677802473644532</v>
      </c>
      <c r="F41" s="49"/>
      <c r="G41" s="49"/>
      <c r="H41" s="49"/>
    </row>
    <row r="42" spans="1:8" ht="15" customHeight="1" x14ac:dyDescent="0.25">
      <c r="A42" s="61" t="s">
        <v>17</v>
      </c>
      <c r="B42" s="25">
        <f>IFERROR(B11/B5,0)</f>
        <v>53.281471823844711</v>
      </c>
      <c r="C42" s="25">
        <f>IFERROR(C11/C5,0)</f>
        <v>61.299117231638427</v>
      </c>
      <c r="D42" s="25">
        <f>IFERROR(D11/D5,0)</f>
        <v>63.927470098067012</v>
      </c>
      <c r="E42" s="63">
        <f t="shared" si="2"/>
        <v>59.502686384516714</v>
      </c>
      <c r="F42" s="49"/>
      <c r="G42" s="49"/>
      <c r="H42" s="49"/>
    </row>
    <row r="43" spans="1:8" ht="15" customHeight="1" x14ac:dyDescent="0.25">
      <c r="A43" s="61" t="s">
        <v>110</v>
      </c>
      <c r="B43" s="25">
        <f>IFERROR((B11-B16)/B5,0)</f>
        <v>-6.1287845864117019</v>
      </c>
      <c r="C43" s="25">
        <f>IFERROR((C11-C16)/C5,0)</f>
        <v>0.48661723163842302</v>
      </c>
      <c r="D43" s="25">
        <f>IFERROR((D11-D16)/D5,0)</f>
        <v>6.9074032084349026</v>
      </c>
      <c r="E43" s="63">
        <f t="shared" si="2"/>
        <v>0.42174528455387456</v>
      </c>
      <c r="F43" s="49"/>
      <c r="G43" s="49"/>
      <c r="H43" s="49"/>
    </row>
    <row r="44" spans="1:8" ht="15" customHeight="1" x14ac:dyDescent="0.25">
      <c r="A44" s="61" t="s">
        <v>18</v>
      </c>
      <c r="B44" s="25">
        <f>B30+B35</f>
        <v>479000</v>
      </c>
      <c r="C44" s="25">
        <f>C30+C35</f>
        <v>497000</v>
      </c>
      <c r="D44" s="25">
        <f>D30+D35</f>
        <v>533000</v>
      </c>
      <c r="E44" s="63">
        <f t="shared" si="2"/>
        <v>503000</v>
      </c>
      <c r="F44" s="49"/>
      <c r="G44" s="49"/>
      <c r="H44" s="49"/>
    </row>
    <row r="46" spans="1:8" ht="13.5" customHeight="1" x14ac:dyDescent="0.25">
      <c r="A46" s="95" t="s">
        <v>232</v>
      </c>
      <c r="B46" s="95"/>
      <c r="C46" s="95"/>
      <c r="D46" s="95"/>
      <c r="E46" s="96" t="s">
        <v>35</v>
      </c>
      <c r="F46" s="96"/>
      <c r="G46" s="96"/>
      <c r="H46" s="96"/>
    </row>
  </sheetData>
  <mergeCells count="9">
    <mergeCell ref="A32:H32"/>
    <mergeCell ref="A38:H38"/>
    <mergeCell ref="A46:D46"/>
    <mergeCell ref="E46:H46"/>
    <mergeCell ref="A1:H1"/>
    <mergeCell ref="A2:H2"/>
    <mergeCell ref="A4:H4"/>
    <mergeCell ref="A12:H12"/>
    <mergeCell ref="A18:H1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selection activeCell="K27" sqref="K27"/>
    </sheetView>
  </sheetViews>
  <sheetFormatPr defaultColWidth="8.7109375" defaultRowHeight="15" x14ac:dyDescent="0.25"/>
  <cols>
    <col min="1" max="1" width="36" customWidth="1"/>
    <col min="2" max="4" width="13" customWidth="1"/>
    <col min="5" max="5" width="8" customWidth="1"/>
    <col min="6" max="6" width="38" customWidth="1"/>
  </cols>
  <sheetData>
    <row r="1" spans="1:6" ht="30" customHeight="1" x14ac:dyDescent="0.25">
      <c r="A1" s="91" t="s">
        <v>120</v>
      </c>
      <c r="B1" s="91"/>
      <c r="C1" s="91"/>
      <c r="D1" s="91"/>
      <c r="E1" s="91"/>
      <c r="F1" s="91"/>
    </row>
    <row r="2" spans="1:6" ht="15.75" customHeight="1" x14ac:dyDescent="0.25">
      <c r="A2" s="92" t="s">
        <v>121</v>
      </c>
      <c r="B2" s="92"/>
      <c r="C2" s="92"/>
      <c r="D2" s="92"/>
      <c r="E2" s="92"/>
      <c r="F2" s="92"/>
    </row>
    <row r="3" spans="1:6" ht="18" customHeight="1" x14ac:dyDescent="0.25">
      <c r="A3" s="1" t="s">
        <v>122</v>
      </c>
      <c r="B3" s="1" t="s">
        <v>80</v>
      </c>
      <c r="C3" s="1" t="s">
        <v>81</v>
      </c>
      <c r="D3" s="1" t="s">
        <v>82</v>
      </c>
      <c r="E3" s="1" t="s">
        <v>123</v>
      </c>
      <c r="F3" s="5" t="s">
        <v>124</v>
      </c>
    </row>
    <row r="4" spans="1:6" ht="15.75" customHeight="1" x14ac:dyDescent="0.25">
      <c r="A4" s="101" t="s">
        <v>125</v>
      </c>
      <c r="B4" s="101"/>
      <c r="C4" s="101"/>
      <c r="D4" s="101"/>
      <c r="E4" s="101"/>
      <c r="F4" s="101"/>
    </row>
    <row r="5" spans="1:6" ht="15" customHeight="1" x14ac:dyDescent="0.25">
      <c r="A5" s="72" t="s">
        <v>126</v>
      </c>
      <c r="B5" s="73">
        <v>26</v>
      </c>
      <c r="C5" s="73">
        <v>24</v>
      </c>
      <c r="D5" s="73">
        <v>26</v>
      </c>
      <c r="E5" s="74" t="s">
        <v>127</v>
      </c>
      <c r="F5" s="75" t="s">
        <v>128</v>
      </c>
    </row>
    <row r="6" spans="1:6" ht="15" customHeight="1" x14ac:dyDescent="0.25">
      <c r="A6" s="72" t="s">
        <v>129</v>
      </c>
      <c r="B6" s="73">
        <v>180</v>
      </c>
      <c r="C6" s="73">
        <v>200</v>
      </c>
      <c r="D6" s="73">
        <v>230</v>
      </c>
      <c r="E6" s="74" t="s">
        <v>130</v>
      </c>
      <c r="F6" s="75" t="s">
        <v>131</v>
      </c>
    </row>
    <row r="7" spans="1:6" ht="15" customHeight="1" x14ac:dyDescent="0.25">
      <c r="A7" s="72" t="s">
        <v>132</v>
      </c>
      <c r="B7" s="76">
        <v>150</v>
      </c>
      <c r="C7" s="76">
        <v>152</v>
      </c>
      <c r="D7" s="76">
        <v>155</v>
      </c>
      <c r="E7" s="74" t="s">
        <v>133</v>
      </c>
      <c r="F7" s="75" t="s">
        <v>134</v>
      </c>
    </row>
    <row r="8" spans="1:6" ht="15" customHeight="1" x14ac:dyDescent="0.25">
      <c r="A8" s="72" t="s">
        <v>135</v>
      </c>
      <c r="B8" s="77">
        <v>0.15</v>
      </c>
      <c r="C8" s="77">
        <v>0.15</v>
      </c>
      <c r="D8" s="77">
        <v>0.15</v>
      </c>
      <c r="E8" s="74" t="s">
        <v>136</v>
      </c>
      <c r="F8" s="75" t="s">
        <v>137</v>
      </c>
    </row>
    <row r="9" spans="1:6" ht="15" customHeight="1" x14ac:dyDescent="0.25">
      <c r="A9" s="72" t="s">
        <v>138</v>
      </c>
      <c r="B9" s="73">
        <v>4</v>
      </c>
      <c r="C9" s="73">
        <v>5</v>
      </c>
      <c r="D9" s="73">
        <v>6</v>
      </c>
      <c r="E9" s="74" t="s">
        <v>130</v>
      </c>
      <c r="F9" s="75" t="s">
        <v>139</v>
      </c>
    </row>
    <row r="10" spans="1:6" ht="15" customHeight="1" x14ac:dyDescent="0.25">
      <c r="A10" s="72" t="s">
        <v>140</v>
      </c>
      <c r="B10" s="76">
        <v>24000</v>
      </c>
      <c r="C10" s="76">
        <v>24000</v>
      </c>
      <c r="D10" s="76">
        <v>28000</v>
      </c>
      <c r="E10" s="74" t="s">
        <v>133</v>
      </c>
      <c r="F10" s="75" t="s">
        <v>141</v>
      </c>
    </row>
    <row r="11" spans="1:6" ht="15" customHeight="1" x14ac:dyDescent="0.25">
      <c r="A11" s="72" t="s">
        <v>142</v>
      </c>
      <c r="B11" s="73">
        <v>280</v>
      </c>
      <c r="C11" s="73">
        <v>350</v>
      </c>
      <c r="D11" s="73">
        <v>420</v>
      </c>
      <c r="E11" s="74" t="s">
        <v>130</v>
      </c>
      <c r="F11" s="75" t="s">
        <v>143</v>
      </c>
    </row>
    <row r="12" spans="1:6" ht="15" customHeight="1" x14ac:dyDescent="0.25">
      <c r="A12" s="72" t="s">
        <v>144</v>
      </c>
      <c r="B12" s="76">
        <v>199</v>
      </c>
      <c r="C12" s="76">
        <v>199</v>
      </c>
      <c r="D12" s="76">
        <v>199</v>
      </c>
      <c r="E12" s="74" t="s">
        <v>133</v>
      </c>
      <c r="F12" s="75" t="s">
        <v>145</v>
      </c>
    </row>
    <row r="13" spans="1:6" ht="15.75" customHeight="1" x14ac:dyDescent="0.25">
      <c r="A13" s="101" t="s">
        <v>146</v>
      </c>
      <c r="B13" s="101"/>
      <c r="C13" s="101"/>
      <c r="D13" s="101"/>
      <c r="E13" s="101"/>
      <c r="F13" s="101"/>
    </row>
    <row r="14" spans="1:6" ht="15" customHeight="1" x14ac:dyDescent="0.25">
      <c r="A14" s="72" t="s">
        <v>147</v>
      </c>
      <c r="B14" s="76">
        <v>18000</v>
      </c>
      <c r="C14" s="76">
        <v>20000</v>
      </c>
      <c r="D14" s="76">
        <v>22000</v>
      </c>
      <c r="E14" s="74" t="s">
        <v>133</v>
      </c>
      <c r="F14" s="75" t="s">
        <v>148</v>
      </c>
    </row>
    <row r="15" spans="1:6" ht="15" customHeight="1" x14ac:dyDescent="0.25">
      <c r="A15" s="72" t="s">
        <v>149</v>
      </c>
      <c r="B15" s="73">
        <v>0</v>
      </c>
      <c r="C15" s="73">
        <v>40</v>
      </c>
      <c r="D15" s="73">
        <v>80</v>
      </c>
      <c r="E15" s="74" t="s">
        <v>130</v>
      </c>
      <c r="F15" s="75" t="s">
        <v>150</v>
      </c>
    </row>
    <row r="16" spans="1:6" ht="15" customHeight="1" x14ac:dyDescent="0.25">
      <c r="A16" s="72" t="s">
        <v>151</v>
      </c>
      <c r="B16" s="76">
        <v>800</v>
      </c>
      <c r="C16" s="76">
        <v>800</v>
      </c>
      <c r="D16" s="76">
        <v>800</v>
      </c>
      <c r="E16" s="74" t="s">
        <v>133</v>
      </c>
      <c r="F16" s="75" t="s">
        <v>152</v>
      </c>
    </row>
    <row r="17" spans="1:6" ht="15" customHeight="1" x14ac:dyDescent="0.25">
      <c r="A17" s="72" t="s">
        <v>153</v>
      </c>
      <c r="B17" s="77">
        <v>0.12</v>
      </c>
      <c r="C17" s="77">
        <v>0.12</v>
      </c>
      <c r="D17" s="77">
        <v>0.12</v>
      </c>
      <c r="E17" s="74" t="s">
        <v>136</v>
      </c>
      <c r="F17" s="75" t="s">
        <v>154</v>
      </c>
    </row>
    <row r="18" spans="1:6" ht="15.75" customHeight="1" x14ac:dyDescent="0.25">
      <c r="A18" s="101" t="s">
        <v>155</v>
      </c>
      <c r="B18" s="101"/>
      <c r="C18" s="101"/>
      <c r="D18" s="101"/>
      <c r="E18" s="101"/>
      <c r="F18" s="101"/>
    </row>
    <row r="19" spans="1:6" ht="15" customHeight="1" x14ac:dyDescent="0.25">
      <c r="A19" s="72" t="s">
        <v>156</v>
      </c>
      <c r="B19" s="76">
        <v>50</v>
      </c>
      <c r="C19" s="76">
        <v>50</v>
      </c>
      <c r="D19" s="76">
        <v>48</v>
      </c>
      <c r="E19" s="74" t="s">
        <v>133</v>
      </c>
      <c r="F19" s="75" t="s">
        <v>157</v>
      </c>
    </row>
    <row r="20" spans="1:6" ht="15" customHeight="1" x14ac:dyDescent="0.25">
      <c r="A20" s="72" t="s">
        <v>158</v>
      </c>
      <c r="B20" s="76">
        <v>3</v>
      </c>
      <c r="C20" s="76">
        <v>3</v>
      </c>
      <c r="D20" s="76">
        <v>3</v>
      </c>
      <c r="E20" s="74" t="s">
        <v>133</v>
      </c>
      <c r="F20" s="75" t="s">
        <v>159</v>
      </c>
    </row>
    <row r="21" spans="1:6" ht="15" customHeight="1" x14ac:dyDescent="0.25">
      <c r="A21" s="72" t="s">
        <v>160</v>
      </c>
      <c r="B21" s="76">
        <v>50</v>
      </c>
      <c r="C21" s="76">
        <v>50</v>
      </c>
      <c r="D21" s="76">
        <v>40</v>
      </c>
      <c r="E21" s="74" t="s">
        <v>133</v>
      </c>
      <c r="F21" s="75" t="s">
        <v>161</v>
      </c>
    </row>
    <row r="22" spans="1:6" ht="15" customHeight="1" x14ac:dyDescent="0.25">
      <c r="A22" s="72" t="s">
        <v>162</v>
      </c>
      <c r="B22" s="73">
        <v>600</v>
      </c>
      <c r="C22" s="73">
        <v>750</v>
      </c>
      <c r="D22" s="73">
        <v>900</v>
      </c>
      <c r="E22" s="74" t="s">
        <v>130</v>
      </c>
      <c r="F22" s="75" t="s">
        <v>163</v>
      </c>
    </row>
    <row r="23" spans="1:6" ht="15.75" customHeight="1" x14ac:dyDescent="0.25">
      <c r="A23" s="101" t="s">
        <v>164</v>
      </c>
      <c r="B23" s="101"/>
      <c r="C23" s="101"/>
      <c r="D23" s="101"/>
      <c r="E23" s="101"/>
      <c r="F23" s="101"/>
    </row>
    <row r="24" spans="1:6" ht="15" customHeight="1" x14ac:dyDescent="0.25">
      <c r="A24" s="72" t="s">
        <v>165</v>
      </c>
      <c r="B24" s="76">
        <v>120000</v>
      </c>
      <c r="C24" s="76">
        <v>120000</v>
      </c>
      <c r="D24" s="76">
        <v>120000</v>
      </c>
      <c r="E24" s="74" t="s">
        <v>133</v>
      </c>
      <c r="F24" s="75" t="s">
        <v>166</v>
      </c>
    </row>
    <row r="25" spans="1:6" ht="15" customHeight="1" x14ac:dyDescent="0.25">
      <c r="A25" s="72" t="s">
        <v>167</v>
      </c>
      <c r="B25" s="76">
        <v>80000</v>
      </c>
      <c r="C25" s="76">
        <v>80000</v>
      </c>
      <c r="D25" s="76">
        <v>80000</v>
      </c>
      <c r="E25" s="74" t="s">
        <v>133</v>
      </c>
      <c r="F25" s="75" t="s">
        <v>168</v>
      </c>
    </row>
    <row r="26" spans="1:6" ht="15" customHeight="1" x14ac:dyDescent="0.25">
      <c r="A26" s="72" t="s">
        <v>169</v>
      </c>
      <c r="B26" s="76">
        <v>60000</v>
      </c>
      <c r="C26" s="76">
        <v>60000</v>
      </c>
      <c r="D26" s="76">
        <v>75000</v>
      </c>
      <c r="E26" s="74" t="s">
        <v>133</v>
      </c>
      <c r="F26" s="75" t="s">
        <v>170</v>
      </c>
    </row>
    <row r="27" spans="1:6" ht="15" customHeight="1" x14ac:dyDescent="0.25">
      <c r="A27" s="72" t="s">
        <v>171</v>
      </c>
      <c r="B27" s="76">
        <v>35000</v>
      </c>
      <c r="C27" s="76">
        <v>38000</v>
      </c>
      <c r="D27" s="76">
        <v>42000</v>
      </c>
      <c r="E27" s="74" t="s">
        <v>133</v>
      </c>
      <c r="F27" s="75" t="s">
        <v>172</v>
      </c>
    </row>
    <row r="28" spans="1:6" ht="15" customHeight="1" x14ac:dyDescent="0.25">
      <c r="A28" s="72" t="s">
        <v>173</v>
      </c>
      <c r="B28" s="76">
        <v>25000</v>
      </c>
      <c r="C28" s="76">
        <v>25000</v>
      </c>
      <c r="D28" s="76">
        <v>25000</v>
      </c>
      <c r="E28" s="74" t="s">
        <v>133</v>
      </c>
      <c r="F28" s="75" t="s">
        <v>174</v>
      </c>
    </row>
    <row r="29" spans="1:6" ht="15" customHeight="1" x14ac:dyDescent="0.25">
      <c r="A29" s="72" t="s">
        <v>175</v>
      </c>
      <c r="B29" s="76">
        <v>80000</v>
      </c>
      <c r="C29" s="76">
        <v>90000</v>
      </c>
      <c r="D29" s="76">
        <v>100000</v>
      </c>
      <c r="E29" s="74" t="s">
        <v>133</v>
      </c>
      <c r="F29" s="75" t="s">
        <v>176</v>
      </c>
    </row>
    <row r="30" spans="1:6" ht="15" customHeight="1" x14ac:dyDescent="0.25">
      <c r="A30" s="72" t="s">
        <v>177</v>
      </c>
      <c r="B30" s="76">
        <v>15000</v>
      </c>
      <c r="C30" s="76">
        <v>20000</v>
      </c>
      <c r="D30" s="76">
        <v>25000</v>
      </c>
      <c r="E30" s="74" t="s">
        <v>133</v>
      </c>
      <c r="F30" s="75" t="s">
        <v>178</v>
      </c>
    </row>
    <row r="31" spans="1:6" ht="15" customHeight="1" x14ac:dyDescent="0.25">
      <c r="A31" s="72" t="s">
        <v>179</v>
      </c>
      <c r="B31" s="76">
        <v>20000</v>
      </c>
      <c r="C31" s="76">
        <v>20000</v>
      </c>
      <c r="D31" s="76">
        <v>22000</v>
      </c>
      <c r="E31" s="74" t="s">
        <v>133</v>
      </c>
      <c r="F31" s="75" t="s">
        <v>180</v>
      </c>
    </row>
    <row r="32" spans="1:6" ht="15" customHeight="1" x14ac:dyDescent="0.25">
      <c r="A32" s="72" t="s">
        <v>181</v>
      </c>
      <c r="B32" s="76">
        <v>15000</v>
      </c>
      <c r="C32" s="76">
        <v>15000</v>
      </c>
      <c r="D32" s="76">
        <v>15000</v>
      </c>
      <c r="E32" s="74" t="s">
        <v>133</v>
      </c>
      <c r="F32" s="75" t="s">
        <v>182</v>
      </c>
    </row>
    <row r="33" spans="1:6" ht="15" customHeight="1" x14ac:dyDescent="0.25">
      <c r="A33" s="72" t="s">
        <v>183</v>
      </c>
      <c r="B33" s="76">
        <v>8000</v>
      </c>
      <c r="C33" s="76">
        <v>8000</v>
      </c>
      <c r="D33" s="76">
        <v>8000</v>
      </c>
      <c r="E33" s="74" t="s">
        <v>133</v>
      </c>
      <c r="F33" s="75" t="s">
        <v>184</v>
      </c>
    </row>
    <row r="34" spans="1:6" ht="15" customHeight="1" x14ac:dyDescent="0.25">
      <c r="A34" s="72" t="s">
        <v>185</v>
      </c>
      <c r="B34" s="76">
        <v>5000</v>
      </c>
      <c r="C34" s="76">
        <v>5000</v>
      </c>
      <c r="D34" s="76">
        <v>5000</v>
      </c>
      <c r="E34" s="74" t="s">
        <v>133</v>
      </c>
      <c r="F34" s="75" t="s">
        <v>186</v>
      </c>
    </row>
    <row r="35" spans="1:6" ht="15.75" customHeight="1" x14ac:dyDescent="0.25">
      <c r="A35" s="101" t="s">
        <v>187</v>
      </c>
      <c r="B35" s="101"/>
      <c r="C35" s="101"/>
      <c r="D35" s="101"/>
      <c r="E35" s="101"/>
      <c r="F35" s="101"/>
    </row>
    <row r="36" spans="1:6" ht="15" customHeight="1" x14ac:dyDescent="0.25">
      <c r="A36" s="72" t="s">
        <v>188</v>
      </c>
      <c r="B36" s="77">
        <v>0.18</v>
      </c>
      <c r="C36" s="77">
        <v>0.18</v>
      </c>
      <c r="D36" s="77">
        <v>0.18</v>
      </c>
      <c r="E36" s="74" t="s">
        <v>136</v>
      </c>
      <c r="F36" s="75" t="s">
        <v>189</v>
      </c>
    </row>
    <row r="37" spans="1:6" ht="15" customHeight="1" x14ac:dyDescent="0.25">
      <c r="A37" s="72" t="s">
        <v>190</v>
      </c>
      <c r="B37" s="77">
        <v>0.1</v>
      </c>
      <c r="C37" s="77">
        <v>0.1</v>
      </c>
      <c r="D37" s="77">
        <v>0.1</v>
      </c>
      <c r="E37" s="74" t="s">
        <v>136</v>
      </c>
      <c r="F37" s="75" t="s">
        <v>191</v>
      </c>
    </row>
    <row r="38" spans="1:6" ht="15" customHeight="1" x14ac:dyDescent="0.25">
      <c r="A38" s="72" t="s">
        <v>192</v>
      </c>
      <c r="B38" s="76">
        <v>12500</v>
      </c>
      <c r="C38" s="76">
        <v>12500</v>
      </c>
      <c r="D38" s="76">
        <v>12500</v>
      </c>
      <c r="E38" s="74" t="s">
        <v>133</v>
      </c>
      <c r="F38" s="75" t="s">
        <v>193</v>
      </c>
    </row>
    <row r="39" spans="1:6" ht="15" customHeight="1" x14ac:dyDescent="0.25">
      <c r="A39" s="72" t="s">
        <v>194</v>
      </c>
      <c r="B39" s="76">
        <v>3500</v>
      </c>
      <c r="C39" s="76">
        <v>3500</v>
      </c>
      <c r="D39" s="76">
        <v>3500</v>
      </c>
      <c r="E39" s="74" t="s">
        <v>133</v>
      </c>
      <c r="F39" s="75" t="s">
        <v>195</v>
      </c>
    </row>
    <row r="42" spans="1:6" ht="13.5" customHeight="1" x14ac:dyDescent="0.25">
      <c r="A42" s="95" t="s">
        <v>232</v>
      </c>
      <c r="B42" s="95"/>
      <c r="C42" s="95"/>
      <c r="D42" s="96" t="s">
        <v>35</v>
      </c>
      <c r="E42" s="96"/>
      <c r="F42" s="96"/>
    </row>
  </sheetData>
  <mergeCells count="9">
    <mergeCell ref="A23:F23"/>
    <mergeCell ref="A35:F35"/>
    <mergeCell ref="A42:C42"/>
    <mergeCell ref="D42:F42"/>
    <mergeCell ref="A1:F1"/>
    <mergeCell ref="A2:F2"/>
    <mergeCell ref="A4:F4"/>
    <mergeCell ref="A13:F13"/>
    <mergeCell ref="A18:F18"/>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selection activeCell="H13" sqref="H13"/>
    </sheetView>
  </sheetViews>
  <sheetFormatPr defaultColWidth="8.7109375" defaultRowHeight="15" x14ac:dyDescent="0.25"/>
  <cols>
    <col min="1" max="1" width="36" customWidth="1"/>
    <col min="2" max="4" width="13" customWidth="1"/>
    <col min="5" max="5" width="8" customWidth="1"/>
    <col min="6" max="6" width="38" customWidth="1"/>
  </cols>
  <sheetData>
    <row r="1" spans="1:6" ht="30" customHeight="1" x14ac:dyDescent="0.25">
      <c r="A1" s="91" t="s">
        <v>196</v>
      </c>
      <c r="B1" s="91"/>
      <c r="C1" s="91"/>
      <c r="D1" s="91"/>
      <c r="E1" s="91"/>
      <c r="F1" s="91"/>
    </row>
    <row r="2" spans="1:6" ht="15.75" customHeight="1" x14ac:dyDescent="0.25">
      <c r="A2" s="92" t="s">
        <v>197</v>
      </c>
      <c r="B2" s="92"/>
      <c r="C2" s="92"/>
      <c r="D2" s="92"/>
      <c r="E2" s="92"/>
      <c r="F2" s="92"/>
    </row>
    <row r="3" spans="1:6" ht="18" customHeight="1" x14ac:dyDescent="0.25">
      <c r="A3" s="64" t="s">
        <v>122</v>
      </c>
      <c r="B3" s="64" t="s">
        <v>80</v>
      </c>
      <c r="C3" s="64" t="s">
        <v>81</v>
      </c>
      <c r="D3" s="64" t="s">
        <v>82</v>
      </c>
      <c r="E3" s="64" t="s">
        <v>123</v>
      </c>
      <c r="F3" s="64" t="s">
        <v>124</v>
      </c>
    </row>
    <row r="4" spans="1:6" ht="15.75" customHeight="1" x14ac:dyDescent="0.25">
      <c r="A4" s="102" t="s">
        <v>198</v>
      </c>
      <c r="B4" s="102"/>
      <c r="C4" s="102"/>
      <c r="D4" s="102"/>
      <c r="E4" s="102"/>
      <c r="F4" s="102"/>
    </row>
    <row r="5" spans="1:6" ht="15" customHeight="1" x14ac:dyDescent="0.25">
      <c r="A5" s="72" t="s">
        <v>126</v>
      </c>
      <c r="B5" s="78">
        <v>26</v>
      </c>
      <c r="C5" s="78">
        <v>24</v>
      </c>
      <c r="D5" s="78">
        <v>26</v>
      </c>
      <c r="E5" s="74" t="s">
        <v>127</v>
      </c>
      <c r="F5" s="75" t="s">
        <v>199</v>
      </c>
    </row>
    <row r="6" spans="1:6" ht="15" customHeight="1" x14ac:dyDescent="0.25">
      <c r="A6" s="72" t="s">
        <v>129</v>
      </c>
      <c r="B6" s="78">
        <v>210</v>
      </c>
      <c r="C6" s="78">
        <v>240</v>
      </c>
      <c r="D6" s="78">
        <v>270</v>
      </c>
      <c r="E6" s="74" t="s">
        <v>130</v>
      </c>
      <c r="F6" s="75" t="s">
        <v>200</v>
      </c>
    </row>
    <row r="7" spans="1:6" ht="15" customHeight="1" x14ac:dyDescent="0.25">
      <c r="A7" s="72" t="s">
        <v>132</v>
      </c>
      <c r="B7" s="79">
        <v>150</v>
      </c>
      <c r="C7" s="79">
        <v>150</v>
      </c>
      <c r="D7" s="79">
        <v>150</v>
      </c>
      <c r="E7" s="74" t="s">
        <v>133</v>
      </c>
      <c r="F7" s="75" t="s">
        <v>201</v>
      </c>
    </row>
    <row r="8" spans="1:6" ht="15" customHeight="1" x14ac:dyDescent="0.25">
      <c r="A8" s="72" t="s">
        <v>135</v>
      </c>
      <c r="B8" s="80">
        <v>0.15</v>
      </c>
      <c r="C8" s="80">
        <v>0.15</v>
      </c>
      <c r="D8" s="80">
        <v>0.15</v>
      </c>
      <c r="E8" s="74" t="s">
        <v>136</v>
      </c>
      <c r="F8" s="75" t="s">
        <v>199</v>
      </c>
    </row>
    <row r="9" spans="1:6" ht="15" customHeight="1" x14ac:dyDescent="0.25">
      <c r="A9" s="72" t="s">
        <v>138</v>
      </c>
      <c r="B9" s="78">
        <v>5</v>
      </c>
      <c r="C9" s="78">
        <v>6</v>
      </c>
      <c r="D9" s="78">
        <v>8</v>
      </c>
      <c r="E9" s="74" t="s">
        <v>130</v>
      </c>
      <c r="F9" s="75" t="s">
        <v>202</v>
      </c>
    </row>
    <row r="10" spans="1:6" ht="15" customHeight="1" x14ac:dyDescent="0.25">
      <c r="A10" s="72" t="s">
        <v>140</v>
      </c>
      <c r="B10" s="79">
        <v>24000</v>
      </c>
      <c r="C10" s="79">
        <v>24000</v>
      </c>
      <c r="D10" s="79">
        <v>24000</v>
      </c>
      <c r="E10" s="74" t="s">
        <v>133</v>
      </c>
      <c r="F10" s="75" t="s">
        <v>203</v>
      </c>
    </row>
    <row r="11" spans="1:6" ht="15" customHeight="1" x14ac:dyDescent="0.25">
      <c r="A11" s="72" t="s">
        <v>142</v>
      </c>
      <c r="B11" s="78">
        <v>350</v>
      </c>
      <c r="C11" s="78">
        <v>450</v>
      </c>
      <c r="D11" s="78">
        <v>550</v>
      </c>
      <c r="E11" s="74" t="s">
        <v>130</v>
      </c>
      <c r="F11" s="75" t="s">
        <v>204</v>
      </c>
    </row>
    <row r="12" spans="1:6" ht="15" customHeight="1" x14ac:dyDescent="0.25">
      <c r="A12" s="72" t="s">
        <v>144</v>
      </c>
      <c r="B12" s="79">
        <v>199</v>
      </c>
      <c r="C12" s="79">
        <v>199</v>
      </c>
      <c r="D12" s="79">
        <v>199</v>
      </c>
      <c r="E12" s="74" t="s">
        <v>133</v>
      </c>
      <c r="F12" s="75" t="s">
        <v>199</v>
      </c>
    </row>
    <row r="13" spans="1:6" ht="15.75" customHeight="1" x14ac:dyDescent="0.25">
      <c r="A13" s="102" t="s">
        <v>146</v>
      </c>
      <c r="B13" s="102"/>
      <c r="C13" s="102"/>
      <c r="D13" s="102"/>
      <c r="E13" s="102"/>
      <c r="F13" s="102"/>
    </row>
    <row r="14" spans="1:6" ht="15" customHeight="1" x14ac:dyDescent="0.25">
      <c r="A14" s="72" t="s">
        <v>147</v>
      </c>
      <c r="B14" s="79">
        <v>25000</v>
      </c>
      <c r="C14" s="79">
        <v>28000</v>
      </c>
      <c r="D14" s="79">
        <v>32000</v>
      </c>
      <c r="E14" s="74" t="s">
        <v>133</v>
      </c>
      <c r="F14" s="75" t="s">
        <v>205</v>
      </c>
    </row>
    <row r="15" spans="1:6" ht="15" customHeight="1" x14ac:dyDescent="0.25">
      <c r="A15" s="72" t="s">
        <v>149</v>
      </c>
      <c r="B15" s="78">
        <v>0</v>
      </c>
      <c r="C15" s="78">
        <v>60</v>
      </c>
      <c r="D15" s="78">
        <v>120</v>
      </c>
      <c r="E15" s="74" t="s">
        <v>130</v>
      </c>
      <c r="F15" s="75" t="s">
        <v>206</v>
      </c>
    </row>
    <row r="16" spans="1:6" ht="15" customHeight="1" x14ac:dyDescent="0.25">
      <c r="A16" s="72" t="s">
        <v>151</v>
      </c>
      <c r="B16" s="79">
        <v>800</v>
      </c>
      <c r="C16" s="79">
        <v>800</v>
      </c>
      <c r="D16" s="79">
        <v>800</v>
      </c>
      <c r="E16" s="74" t="s">
        <v>133</v>
      </c>
      <c r="F16" s="75" t="s">
        <v>199</v>
      </c>
    </row>
    <row r="17" spans="1:6" ht="15" customHeight="1" x14ac:dyDescent="0.25">
      <c r="A17" s="72" t="s">
        <v>153</v>
      </c>
      <c r="B17" s="80">
        <v>0.12</v>
      </c>
      <c r="C17" s="80">
        <v>0.12</v>
      </c>
      <c r="D17" s="80">
        <v>0.12</v>
      </c>
      <c r="E17" s="74" t="s">
        <v>136</v>
      </c>
      <c r="F17" s="75" t="s">
        <v>199</v>
      </c>
    </row>
    <row r="18" spans="1:6" ht="15.75" customHeight="1" x14ac:dyDescent="0.25">
      <c r="A18" s="102" t="s">
        <v>207</v>
      </c>
      <c r="B18" s="102"/>
      <c r="C18" s="102"/>
      <c r="D18" s="102"/>
      <c r="E18" s="102"/>
      <c r="F18" s="102"/>
    </row>
    <row r="19" spans="1:6" ht="15" customHeight="1" x14ac:dyDescent="0.25">
      <c r="A19" s="72" t="s">
        <v>156</v>
      </c>
      <c r="B19" s="79">
        <v>50</v>
      </c>
      <c r="C19" s="79">
        <v>50</v>
      </c>
      <c r="D19" s="79">
        <v>50</v>
      </c>
      <c r="E19" s="74" t="s">
        <v>133</v>
      </c>
      <c r="F19" s="75" t="s">
        <v>208</v>
      </c>
    </row>
    <row r="20" spans="1:6" ht="15" customHeight="1" x14ac:dyDescent="0.25">
      <c r="A20" s="72" t="s">
        <v>158</v>
      </c>
      <c r="B20" s="79">
        <v>3</v>
      </c>
      <c r="C20" s="79">
        <v>3</v>
      </c>
      <c r="D20" s="79">
        <v>3</v>
      </c>
      <c r="E20" s="74" t="s">
        <v>133</v>
      </c>
      <c r="F20" s="75" t="s">
        <v>199</v>
      </c>
    </row>
    <row r="21" spans="1:6" ht="15" customHeight="1" x14ac:dyDescent="0.25">
      <c r="A21" s="72" t="s">
        <v>160</v>
      </c>
      <c r="B21" s="79">
        <v>50</v>
      </c>
      <c r="C21" s="79">
        <v>50</v>
      </c>
      <c r="D21" s="79">
        <v>50</v>
      </c>
      <c r="E21" s="74" t="s">
        <v>133</v>
      </c>
      <c r="F21" s="75" t="s">
        <v>209</v>
      </c>
    </row>
    <row r="22" spans="1:6" ht="15" customHeight="1" x14ac:dyDescent="0.25">
      <c r="A22" s="72" t="s">
        <v>162</v>
      </c>
      <c r="B22" s="78">
        <v>700</v>
      </c>
      <c r="C22" s="78">
        <v>850</v>
      </c>
      <c r="D22" s="78">
        <v>1000</v>
      </c>
      <c r="E22" s="74" t="s">
        <v>130</v>
      </c>
      <c r="F22" s="75" t="s">
        <v>210</v>
      </c>
    </row>
    <row r="23" spans="1:6" ht="15.75" customHeight="1" x14ac:dyDescent="0.25">
      <c r="A23" s="102" t="s">
        <v>211</v>
      </c>
      <c r="B23" s="102"/>
      <c r="C23" s="102"/>
      <c r="D23" s="102"/>
      <c r="E23" s="102"/>
      <c r="F23" s="102"/>
    </row>
    <row r="24" spans="1:6" ht="15" customHeight="1" x14ac:dyDescent="0.25">
      <c r="A24" s="72" t="s">
        <v>165</v>
      </c>
      <c r="B24" s="79">
        <v>120000</v>
      </c>
      <c r="C24" s="79">
        <v>120000</v>
      </c>
      <c r="D24" s="79">
        <v>120000</v>
      </c>
      <c r="E24" s="74" t="s">
        <v>133</v>
      </c>
      <c r="F24" s="75" t="s">
        <v>212</v>
      </c>
    </row>
    <row r="25" spans="1:6" ht="15" customHeight="1" x14ac:dyDescent="0.25">
      <c r="A25" s="72" t="s">
        <v>167</v>
      </c>
      <c r="B25" s="79">
        <v>80000</v>
      </c>
      <c r="C25" s="79">
        <v>80000</v>
      </c>
      <c r="D25" s="79">
        <v>80000</v>
      </c>
      <c r="E25" s="74" t="s">
        <v>133</v>
      </c>
      <c r="F25" s="75" t="s">
        <v>212</v>
      </c>
    </row>
    <row r="26" spans="1:6" ht="15" customHeight="1" x14ac:dyDescent="0.25">
      <c r="A26" s="72" t="s">
        <v>169</v>
      </c>
      <c r="B26" s="79">
        <v>60000</v>
      </c>
      <c r="C26" s="79">
        <v>60000</v>
      </c>
      <c r="D26" s="79">
        <v>60000</v>
      </c>
      <c r="E26" s="74" t="s">
        <v>133</v>
      </c>
      <c r="F26" s="75" t="s">
        <v>213</v>
      </c>
    </row>
    <row r="27" spans="1:6" ht="15" customHeight="1" x14ac:dyDescent="0.25">
      <c r="A27" s="72" t="s">
        <v>171</v>
      </c>
      <c r="B27" s="79">
        <v>30000</v>
      </c>
      <c r="C27" s="79">
        <v>30000</v>
      </c>
      <c r="D27" s="79">
        <v>30000</v>
      </c>
      <c r="E27" s="74" t="s">
        <v>133</v>
      </c>
      <c r="F27" s="75" t="s">
        <v>214</v>
      </c>
    </row>
    <row r="28" spans="1:6" ht="15" customHeight="1" x14ac:dyDescent="0.25">
      <c r="A28" s="72" t="s">
        <v>173</v>
      </c>
      <c r="B28" s="79">
        <v>25000</v>
      </c>
      <c r="C28" s="79">
        <v>25000</v>
      </c>
      <c r="D28" s="79">
        <v>25000</v>
      </c>
      <c r="E28" s="74" t="s">
        <v>133</v>
      </c>
      <c r="F28" s="75" t="s">
        <v>199</v>
      </c>
    </row>
    <row r="29" spans="1:6" ht="15" customHeight="1" x14ac:dyDescent="0.25">
      <c r="A29" s="72" t="s">
        <v>175</v>
      </c>
      <c r="B29" s="79">
        <v>70000</v>
      </c>
      <c r="C29" s="79">
        <v>75000</v>
      </c>
      <c r="D29" s="79">
        <v>80000</v>
      </c>
      <c r="E29" s="74" t="s">
        <v>133</v>
      </c>
      <c r="F29" s="75" t="s">
        <v>215</v>
      </c>
    </row>
    <row r="30" spans="1:6" ht="15" customHeight="1" x14ac:dyDescent="0.25">
      <c r="A30" s="72" t="s">
        <v>177</v>
      </c>
      <c r="B30" s="79">
        <v>10000</v>
      </c>
      <c r="C30" s="79">
        <v>12000</v>
      </c>
      <c r="D30" s="79">
        <v>15000</v>
      </c>
      <c r="E30" s="74" t="s">
        <v>133</v>
      </c>
      <c r="F30" s="75" t="s">
        <v>216</v>
      </c>
    </row>
    <row r="31" spans="1:6" ht="15" customHeight="1" x14ac:dyDescent="0.25">
      <c r="A31" s="72" t="s">
        <v>179</v>
      </c>
      <c r="B31" s="79">
        <v>18000</v>
      </c>
      <c r="C31" s="79">
        <v>18000</v>
      </c>
      <c r="D31" s="79">
        <v>18000</v>
      </c>
      <c r="E31" s="74" t="s">
        <v>133</v>
      </c>
      <c r="F31" s="75" t="s">
        <v>217</v>
      </c>
    </row>
    <row r="32" spans="1:6" ht="15" customHeight="1" x14ac:dyDescent="0.25">
      <c r="A32" s="72" t="s">
        <v>181</v>
      </c>
      <c r="B32" s="79">
        <v>15000</v>
      </c>
      <c r="C32" s="79">
        <v>15000</v>
      </c>
      <c r="D32" s="79">
        <v>15000</v>
      </c>
      <c r="E32" s="74" t="s">
        <v>133</v>
      </c>
      <c r="F32" s="75" t="s">
        <v>199</v>
      </c>
    </row>
    <row r="33" spans="1:6" ht="15" customHeight="1" x14ac:dyDescent="0.25">
      <c r="A33" s="72" t="s">
        <v>183</v>
      </c>
      <c r="B33" s="79">
        <v>8000</v>
      </c>
      <c r="C33" s="79">
        <v>8000</v>
      </c>
      <c r="D33" s="79">
        <v>8000</v>
      </c>
      <c r="E33" s="74" t="s">
        <v>133</v>
      </c>
      <c r="F33" s="75" t="s">
        <v>199</v>
      </c>
    </row>
    <row r="34" spans="1:6" ht="15" customHeight="1" x14ac:dyDescent="0.25">
      <c r="A34" s="72" t="s">
        <v>185</v>
      </c>
      <c r="B34" s="79">
        <v>5000</v>
      </c>
      <c r="C34" s="79">
        <v>5000</v>
      </c>
      <c r="D34" s="79">
        <v>5000</v>
      </c>
      <c r="E34" s="74" t="s">
        <v>133</v>
      </c>
      <c r="F34" s="75" t="s">
        <v>199</v>
      </c>
    </row>
    <row r="35" spans="1:6" ht="15.75" customHeight="1" x14ac:dyDescent="0.25">
      <c r="A35" s="102" t="s">
        <v>187</v>
      </c>
      <c r="B35" s="102"/>
      <c r="C35" s="102"/>
      <c r="D35" s="102"/>
      <c r="E35" s="102"/>
      <c r="F35" s="102"/>
    </row>
    <row r="36" spans="1:6" ht="15" customHeight="1" x14ac:dyDescent="0.25">
      <c r="A36" s="72" t="s">
        <v>188</v>
      </c>
      <c r="B36" s="80">
        <v>0.18</v>
      </c>
      <c r="C36" s="80">
        <v>0.18</v>
      </c>
      <c r="D36" s="80">
        <v>0.18</v>
      </c>
      <c r="E36" s="74" t="s">
        <v>136</v>
      </c>
      <c r="F36" s="75" t="s">
        <v>199</v>
      </c>
    </row>
    <row r="37" spans="1:6" ht="15" customHeight="1" x14ac:dyDescent="0.25">
      <c r="A37" s="72" t="s">
        <v>190</v>
      </c>
      <c r="B37" s="80">
        <v>0.1</v>
      </c>
      <c r="C37" s="80">
        <v>0.1</v>
      </c>
      <c r="D37" s="80">
        <v>0.1</v>
      </c>
      <c r="E37" s="74" t="s">
        <v>136</v>
      </c>
      <c r="F37" s="75" t="s">
        <v>199</v>
      </c>
    </row>
    <row r="38" spans="1:6" ht="15" customHeight="1" x14ac:dyDescent="0.25">
      <c r="A38" s="72" t="s">
        <v>192</v>
      </c>
      <c r="B38" s="79">
        <v>12500</v>
      </c>
      <c r="C38" s="79">
        <v>12500</v>
      </c>
      <c r="D38" s="79">
        <v>12500</v>
      </c>
      <c r="E38" s="74" t="s">
        <v>133</v>
      </c>
      <c r="F38" s="75" t="s">
        <v>199</v>
      </c>
    </row>
    <row r="39" spans="1:6" ht="15" customHeight="1" x14ac:dyDescent="0.25">
      <c r="A39" s="72" t="s">
        <v>194</v>
      </c>
      <c r="B39" s="79">
        <v>3500</v>
      </c>
      <c r="C39" s="79">
        <v>3500</v>
      </c>
      <c r="D39" s="79">
        <v>3500</v>
      </c>
      <c r="E39" s="74" t="s">
        <v>133</v>
      </c>
      <c r="F39" s="75" t="s">
        <v>199</v>
      </c>
    </row>
    <row r="42" spans="1:6" ht="13.5" customHeight="1" x14ac:dyDescent="0.25">
      <c r="A42" s="95" t="s">
        <v>232</v>
      </c>
      <c r="B42" s="95"/>
      <c r="C42" s="95"/>
      <c r="D42" s="96" t="s">
        <v>35</v>
      </c>
      <c r="E42" s="96"/>
      <c r="F42" s="96"/>
    </row>
  </sheetData>
  <mergeCells count="9">
    <mergeCell ref="A23:F23"/>
    <mergeCell ref="A35:F35"/>
    <mergeCell ref="A42:C42"/>
    <mergeCell ref="D42:F42"/>
    <mergeCell ref="A1:F1"/>
    <mergeCell ref="A2:F2"/>
    <mergeCell ref="A4:F4"/>
    <mergeCell ref="A13:F13"/>
    <mergeCell ref="A18:F18"/>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zoomScaleNormal="100" workbookViewId="0">
      <selection activeCell="F5" sqref="F5"/>
    </sheetView>
  </sheetViews>
  <sheetFormatPr defaultColWidth="8.7109375" defaultRowHeight="15" x14ac:dyDescent="0.25"/>
  <cols>
    <col min="1" max="1" width="4" customWidth="1"/>
    <col min="2" max="2" width="26" customWidth="1"/>
    <col min="3" max="3" width="55" customWidth="1"/>
    <col min="4" max="4" width="26.85546875" customWidth="1"/>
  </cols>
  <sheetData>
    <row r="1" spans="1:5" ht="31.5" customHeight="1" x14ac:dyDescent="0.25">
      <c r="A1" s="91" t="s">
        <v>218</v>
      </c>
      <c r="B1" s="91"/>
      <c r="C1" s="91"/>
      <c r="D1" s="91"/>
    </row>
    <row r="3" spans="1:5" ht="49.5" customHeight="1" x14ac:dyDescent="0.25">
      <c r="A3" s="81"/>
      <c r="B3" s="82" t="s">
        <v>219</v>
      </c>
      <c r="C3" s="106" t="s">
        <v>220</v>
      </c>
      <c r="D3" s="106"/>
    </row>
    <row r="4" spans="1:5" ht="49.5" customHeight="1" x14ac:dyDescent="0.25">
      <c r="A4" s="81"/>
      <c r="B4" s="82" t="s">
        <v>221</v>
      </c>
      <c r="C4" s="106" t="s">
        <v>222</v>
      </c>
      <c r="D4" s="106"/>
    </row>
    <row r="5" spans="1:5" ht="49.5" customHeight="1" x14ac:dyDescent="0.25">
      <c r="A5" s="81"/>
      <c r="B5" s="82" t="s">
        <v>223</v>
      </c>
      <c r="C5" s="106" t="s">
        <v>224</v>
      </c>
      <c r="D5" s="106"/>
    </row>
    <row r="6" spans="1:5" ht="93.75" customHeight="1" x14ac:dyDescent="0.25">
      <c r="A6" s="81"/>
      <c r="B6" s="82" t="s">
        <v>225</v>
      </c>
      <c r="C6" s="106" t="s">
        <v>226</v>
      </c>
      <c r="D6" s="106"/>
    </row>
    <row r="7" spans="1:5" ht="79.5" customHeight="1" x14ac:dyDescent="0.25">
      <c r="A7" s="81"/>
      <c r="B7" s="83" t="s">
        <v>228</v>
      </c>
      <c r="C7" s="104" t="s">
        <v>229</v>
      </c>
      <c r="D7" s="105"/>
    </row>
    <row r="9" spans="1:5" x14ac:dyDescent="0.25">
      <c r="B9" s="103" t="s">
        <v>234</v>
      </c>
      <c r="C9" s="103"/>
      <c r="D9" s="103"/>
      <c r="E9" s="103"/>
    </row>
    <row r="10" spans="1:5" x14ac:dyDescent="0.25">
      <c r="B10" s="86" t="s">
        <v>227</v>
      </c>
      <c r="C10" s="90" t="s">
        <v>235</v>
      </c>
    </row>
    <row r="11" spans="1:5" x14ac:dyDescent="0.25">
      <c r="B11" s="86" t="s">
        <v>236</v>
      </c>
      <c r="C11" s="87" t="s">
        <v>237</v>
      </c>
    </row>
    <row r="12" spans="1:5" ht="23.25" customHeight="1" x14ac:dyDescent="0.25">
      <c r="B12" s="86" t="s">
        <v>238</v>
      </c>
      <c r="C12" s="88" t="s">
        <v>239</v>
      </c>
    </row>
    <row r="13" spans="1:5" ht="15" customHeight="1" x14ac:dyDescent="0.25">
      <c r="B13" s="86" t="s">
        <v>240</v>
      </c>
      <c r="C13" s="87" t="s">
        <v>241</v>
      </c>
    </row>
    <row r="14" spans="1:5" ht="15" customHeight="1" x14ac:dyDescent="0.25">
      <c r="B14" s="86" t="s">
        <v>242</v>
      </c>
      <c r="C14" s="88" t="s">
        <v>243</v>
      </c>
    </row>
    <row r="15" spans="1:5" x14ac:dyDescent="0.25">
      <c r="B15" s="86" t="s">
        <v>244</v>
      </c>
      <c r="C15" s="89" t="s">
        <v>245</v>
      </c>
    </row>
  </sheetData>
  <mergeCells count="7">
    <mergeCell ref="B9:E9"/>
    <mergeCell ref="C7:D7"/>
    <mergeCell ref="A1:D1"/>
    <mergeCell ref="C3:D3"/>
    <mergeCell ref="C4:D4"/>
    <mergeCell ref="C5:D5"/>
    <mergeCell ref="C6:D6"/>
  </mergeCells>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 KPI Dashboard</vt:lpstr>
      <vt:lpstr>📋 Variance Analysis</vt:lpstr>
      <vt:lpstr>Budget P&amp;L</vt:lpstr>
      <vt:lpstr>Actual P&amp;L</vt:lpstr>
      <vt:lpstr>Assumptions (Actual)</vt:lpstr>
      <vt:lpstr>Assumptions (Budget)</vt:lpstr>
      <vt:lpstr>ℹ️ About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AKM</cp:lastModifiedBy>
  <cp:revision>1</cp:revision>
  <dcterms:created xsi:type="dcterms:W3CDTF">2026-03-18T13:22:07Z</dcterms:created>
  <dcterms:modified xsi:type="dcterms:W3CDTF">2026-03-18T16:17:02Z</dcterms:modified>
  <dc:language>en-US</dc:language>
</cp:coreProperties>
</file>