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ocuments\GitHub\inakm.github.io\myprojects\GatiGo\BvsA\"/>
    </mc:Choice>
  </mc:AlternateContent>
  <bookViews>
    <workbookView xWindow="0" yWindow="450" windowWidth="28800" windowHeight="13860" tabRatio="500" firstSheet="2" activeTab="6"/>
  </bookViews>
  <sheets>
    <sheet name="📈 KPI Dashboard" sheetId="1" r:id="rId1"/>
    <sheet name="💡 Insights &amp; Recommendations" sheetId="2" r:id="rId2"/>
    <sheet name="📊 Variance Analysis" sheetId="3" r:id="rId3"/>
    <sheet name="📐 Unit Economics" sheetId="4" r:id="rId4"/>
    <sheet name="🎯 Scenario Analysis" sheetId="5" r:id="rId5"/>
    <sheet name="📋 Raw Data" sheetId="6" r:id="rId6"/>
    <sheet name="ℹ️ About" sheetId="7" r:id="rId7"/>
  </sheet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15" i="2" l="1"/>
  <c r="A9" i="2"/>
  <c r="A13" i="2"/>
  <c r="C20" i="1"/>
  <c r="B20" i="1"/>
  <c r="J30" i="6"/>
  <c r="E30" i="6"/>
  <c r="J29" i="6"/>
  <c r="E29" i="6"/>
  <c r="J27" i="6"/>
  <c r="E27" i="6"/>
  <c r="J26" i="6"/>
  <c r="E26" i="6"/>
  <c r="J25" i="6"/>
  <c r="E25" i="6"/>
  <c r="J24" i="6"/>
  <c r="E24" i="6"/>
  <c r="J23" i="6"/>
  <c r="C18" i="3" s="1"/>
  <c r="D18" i="3" s="1"/>
  <c r="E18" i="3" s="1"/>
  <c r="E23" i="6"/>
  <c r="J22" i="6"/>
  <c r="E22" i="6"/>
  <c r="B17" i="3" s="1"/>
  <c r="J21" i="6"/>
  <c r="E21" i="6"/>
  <c r="J20" i="6"/>
  <c r="C16" i="3" s="1"/>
  <c r="D16" i="3" s="1"/>
  <c r="E16" i="3" s="1"/>
  <c r="E20" i="6"/>
  <c r="J19" i="6"/>
  <c r="E19" i="6"/>
  <c r="J18" i="6"/>
  <c r="E18" i="6"/>
  <c r="J17" i="6"/>
  <c r="E17" i="6"/>
  <c r="J15" i="6"/>
  <c r="E15" i="6"/>
  <c r="J14" i="6"/>
  <c r="E14" i="6"/>
  <c r="J13" i="6"/>
  <c r="C11" i="3" s="1"/>
  <c r="E13" i="6"/>
  <c r="B11" i="3" s="1"/>
  <c r="J11" i="6"/>
  <c r="E11" i="6"/>
  <c r="J10" i="6"/>
  <c r="E10" i="6"/>
  <c r="J9" i="6"/>
  <c r="E9" i="6"/>
  <c r="J8" i="6"/>
  <c r="E8" i="6"/>
  <c r="J7" i="6"/>
  <c r="E7" i="6"/>
  <c r="J5" i="6"/>
  <c r="E5" i="6"/>
  <c r="E34" i="5"/>
  <c r="D34" i="5"/>
  <c r="C34" i="5"/>
  <c r="B34" i="5"/>
  <c r="E32" i="5"/>
  <c r="D32" i="5"/>
  <c r="C32" i="5"/>
  <c r="B32" i="5"/>
  <c r="E31" i="5"/>
  <c r="D31" i="5"/>
  <c r="E30" i="5"/>
  <c r="D30" i="5"/>
  <c r="C30" i="5"/>
  <c r="B30" i="5"/>
  <c r="E29" i="5"/>
  <c r="D29" i="5"/>
  <c r="C29" i="5"/>
  <c r="B29" i="5"/>
  <c r="B28" i="5"/>
  <c r="F28" i="5" s="1"/>
  <c r="E26" i="5"/>
  <c r="D26" i="5"/>
  <c r="C26" i="5"/>
  <c r="B26" i="5"/>
  <c r="E25" i="5"/>
  <c r="E27" i="5" s="1"/>
  <c r="E33" i="5" s="1"/>
  <c r="E35" i="5" s="1"/>
  <c r="D25" i="5"/>
  <c r="D27" i="5" s="1"/>
  <c r="D33" i="5" s="1"/>
  <c r="D35" i="5" s="1"/>
  <c r="C25" i="5"/>
  <c r="C27" i="5" s="1"/>
  <c r="B25" i="5"/>
  <c r="B27" i="5" s="1"/>
  <c r="F24" i="5"/>
  <c r="E24" i="5"/>
  <c r="D24" i="5"/>
  <c r="C24" i="5"/>
  <c r="B24" i="5"/>
  <c r="E23" i="5"/>
  <c r="D23" i="5"/>
  <c r="C23" i="5"/>
  <c r="B23" i="5"/>
  <c r="E22" i="5"/>
  <c r="D22" i="5"/>
  <c r="C22" i="5"/>
  <c r="B22" i="5"/>
  <c r="E21" i="5"/>
  <c r="D21" i="5"/>
  <c r="C21" i="5"/>
  <c r="B21" i="5"/>
  <c r="E20" i="5"/>
  <c r="E28" i="5" s="1"/>
  <c r="D20" i="5"/>
  <c r="D28" i="5" s="1"/>
  <c r="C20" i="5"/>
  <c r="C31" i="5" s="1"/>
  <c r="B20" i="5"/>
  <c r="B31" i="5" s="1"/>
  <c r="E19" i="5"/>
  <c r="D19" i="5"/>
  <c r="C19" i="5"/>
  <c r="B19" i="5"/>
  <c r="F19" i="5" s="1"/>
  <c r="E18" i="5"/>
  <c r="D18" i="5"/>
  <c r="C18" i="5"/>
  <c r="B18" i="5"/>
  <c r="J22" i="4"/>
  <c r="E22" i="4"/>
  <c r="K22" i="4" s="1"/>
  <c r="J21" i="4"/>
  <c r="E21" i="4"/>
  <c r="K21" i="4" s="1"/>
  <c r="J20" i="4"/>
  <c r="E20" i="4"/>
  <c r="K20" i="4" s="1"/>
  <c r="J19" i="4"/>
  <c r="E19" i="4"/>
  <c r="K19" i="4" s="1"/>
  <c r="J18" i="4"/>
  <c r="K18" i="4" s="1"/>
  <c r="E18" i="4"/>
  <c r="J17" i="4"/>
  <c r="E17" i="4"/>
  <c r="K17" i="4" s="1"/>
  <c r="J16" i="4"/>
  <c r="E16" i="4"/>
  <c r="K16" i="4" s="1"/>
  <c r="K15" i="4"/>
  <c r="J15" i="4"/>
  <c r="E15" i="4"/>
  <c r="I9" i="4"/>
  <c r="C9" i="4"/>
  <c r="B9" i="4"/>
  <c r="G8" i="4"/>
  <c r="D8" i="4"/>
  <c r="C8" i="4"/>
  <c r="B8" i="4"/>
  <c r="E8" i="4" s="1"/>
  <c r="H7" i="4"/>
  <c r="D7" i="4"/>
  <c r="C7" i="4"/>
  <c r="C10" i="4" s="1"/>
  <c r="B7" i="4"/>
  <c r="B10" i="4" s="1"/>
  <c r="I6" i="4"/>
  <c r="G6" i="4"/>
  <c r="D6" i="4"/>
  <c r="C6" i="4"/>
  <c r="J5" i="4"/>
  <c r="I5" i="4"/>
  <c r="H5" i="4"/>
  <c r="G5" i="4"/>
  <c r="H9" i="4" s="1"/>
  <c r="E5" i="4"/>
  <c r="D5" i="4"/>
  <c r="C5" i="4"/>
  <c r="B5" i="4"/>
  <c r="B6" i="4" s="1"/>
  <c r="E6" i="4" s="1"/>
  <c r="E20" i="3"/>
  <c r="D20" i="3"/>
  <c r="E19" i="3"/>
  <c r="D19" i="3"/>
  <c r="B18" i="3"/>
  <c r="C17" i="3"/>
  <c r="B16" i="3"/>
  <c r="C15" i="3"/>
  <c r="D15" i="3" s="1"/>
  <c r="E15" i="3" s="1"/>
  <c r="B15" i="3"/>
  <c r="D14" i="3"/>
  <c r="E14" i="3" s="1"/>
  <c r="D13" i="3"/>
  <c r="E13" i="3" s="1"/>
  <c r="C12" i="3"/>
  <c r="D12" i="3" s="1"/>
  <c r="E12" i="3" s="1"/>
  <c r="B12" i="3"/>
  <c r="E10" i="3"/>
  <c r="D10" i="3"/>
  <c r="C9" i="3"/>
  <c r="B9" i="3"/>
  <c r="D9" i="3" s="1"/>
  <c r="E9" i="3" s="1"/>
  <c r="C8" i="3"/>
  <c r="B8" i="3"/>
  <c r="D8" i="3" s="1"/>
  <c r="E8" i="3" s="1"/>
  <c r="E7" i="3"/>
  <c r="D7" i="3"/>
  <c r="D6" i="3"/>
  <c r="E6" i="3" s="1"/>
  <c r="D5" i="3"/>
  <c r="E5" i="3" s="1"/>
  <c r="E4" i="3"/>
  <c r="D4" i="3"/>
  <c r="J16" i="1"/>
  <c r="E16" i="1"/>
  <c r="J15" i="1"/>
  <c r="E15" i="1"/>
  <c r="J14" i="1"/>
  <c r="E14" i="1"/>
  <c r="J13" i="1"/>
  <c r="E13" i="1"/>
  <c r="J12" i="1"/>
  <c r="E12" i="1"/>
  <c r="J11" i="1"/>
  <c r="E11" i="1"/>
  <c r="J10" i="1"/>
  <c r="E10" i="1"/>
  <c r="J9" i="1"/>
  <c r="E9" i="1"/>
  <c r="J8" i="1"/>
  <c r="E8" i="1"/>
  <c r="J7" i="1"/>
  <c r="E7" i="1"/>
  <c r="J6" i="1"/>
  <c r="E6" i="1"/>
  <c r="J5" i="1"/>
  <c r="E5" i="1"/>
  <c r="J4" i="1"/>
  <c r="E4" i="1"/>
  <c r="B12" i="4" l="1"/>
  <c r="B11" i="4"/>
  <c r="B33" i="5"/>
  <c r="F27" i="5"/>
  <c r="D11" i="3"/>
  <c r="E11" i="3" s="1"/>
  <c r="C12" i="4"/>
  <c r="C11" i="4"/>
  <c r="D17" i="3"/>
  <c r="E17" i="3" s="1"/>
  <c r="D10" i="4"/>
  <c r="J6" i="4"/>
  <c r="K6" i="4" s="1"/>
  <c r="C28" i="5"/>
  <c r="C33" i="5" s="1"/>
  <c r="C35" i="5" s="1"/>
  <c r="E7" i="4"/>
  <c r="H6" i="4"/>
  <c r="G7" i="4"/>
  <c r="D9" i="4"/>
  <c r="E9" i="4" s="1"/>
  <c r="K9" i="4" s="1"/>
  <c r="K5" i="4"/>
  <c r="I7" i="4"/>
  <c r="I10" i="4" s="1"/>
  <c r="H8" i="4"/>
  <c r="G9" i="4"/>
  <c r="J9" i="4" s="1"/>
  <c r="I8" i="4"/>
  <c r="J8" i="4" l="1"/>
  <c r="K8" i="4" s="1"/>
  <c r="H10" i="4"/>
  <c r="E11" i="4"/>
  <c r="B35" i="5"/>
  <c r="F35" i="5" s="1"/>
  <c r="F33" i="5"/>
  <c r="E12" i="4"/>
  <c r="I12" i="4"/>
  <c r="I11" i="4"/>
  <c r="D12" i="4"/>
  <c r="D11" i="4"/>
  <c r="G10" i="4"/>
  <c r="J7" i="4"/>
  <c r="K7" i="4"/>
  <c r="E10" i="4"/>
  <c r="H11" i="4" l="1"/>
  <c r="H12" i="4"/>
  <c r="G11" i="4"/>
  <c r="J11" i="4" s="1"/>
  <c r="K11" i="4" s="1"/>
  <c r="J10" i="4"/>
  <c r="K10" i="4" s="1"/>
  <c r="G12" i="4"/>
  <c r="J12" i="4" s="1"/>
  <c r="K12" i="4" s="1"/>
</calcChain>
</file>

<file path=xl/sharedStrings.xml><?xml version="1.0" encoding="utf-8"?>
<sst xmlns="http://schemas.openxmlformats.org/spreadsheetml/2006/main" count="326" uniqueCount="291">
  <si>
    <t>KPI Metric</t>
  </si>
  <si>
    <t>Jan Act</t>
  </si>
  <si>
    <t>Feb Act</t>
  </si>
  <si>
    <t>Mar Act</t>
  </si>
  <si>
    <t>Q1 Act</t>
  </si>
  <si>
    <t>Jan Bud</t>
  </si>
  <si>
    <t>Feb Bud</t>
  </si>
  <si>
    <t>Mar Bud</t>
  </si>
  <si>
    <t>Q1 Bud</t>
  </si>
  <si>
    <t>Total Rides</t>
  </si>
  <si>
    <t>Total Revenue (₹)</t>
  </si>
  <si>
    <t>Gross Profit (₹)</t>
  </si>
  <si>
    <t>Gross Margin %</t>
  </si>
  <si>
    <t>EBITDA (₹)</t>
  </si>
  <si>
    <t>EBITDA Margin %</t>
  </si>
  <si>
    <t>Net Profit (₹)</t>
  </si>
  <si>
    <t>Revenue per Ride (₹)</t>
  </si>
  <si>
    <t>Contribution Margin/Ride</t>
  </si>
  <si>
    <t>Monthly Burn Rate (₹)</t>
  </si>
  <si>
    <t>Cost % of Revenue</t>
  </si>
  <si>
    <t>Revenue Growth % (MoM)</t>
  </si>
  <si>
    <t>Ride Growth % (MoM)</t>
  </si>
  <si>
    <t>Month</t>
  </si>
  <si>
    <t>January</t>
  </si>
  <si>
    <t>February</t>
  </si>
  <si>
    <t>March</t>
  </si>
  <si>
    <t>Act Revenue</t>
  </si>
  <si>
    <t>Bud Revenue</t>
  </si>
  <si>
    <t>Act EBITDA</t>
  </si>
  <si>
    <t>Bud EBITDA</t>
  </si>
  <si>
    <t>Act NetProfit</t>
  </si>
  <si>
    <t>Bud NetProfit</t>
  </si>
  <si>
    <t>Cost Category</t>
  </si>
  <si>
    <t>Q1 Amount (₹)</t>
  </si>
  <si>
    <t>Driver Incentives</t>
  </si>
  <si>
    <t>Salaries (all)</t>
  </si>
  <si>
    <t>Marketing</t>
  </si>
  <si>
    <t>Gateway + Referrals</t>
  </si>
  <si>
    <t>Cloud + Office</t>
  </si>
  <si>
    <t>Support + Legal</t>
  </si>
  <si>
    <t>D&amp;A + Interest</t>
  </si>
  <si>
    <t>GatiGo  |  Q1 FY2026  |  Business Analyst Insights &amp; Recommendations</t>
  </si>
  <si>
    <t>A complete analyst narrative: what happened, why it happened, and what to do next.</t>
  </si>
  <si>
    <t>EXECUTIVE SUMMARY</t>
  </si>
  <si>
    <t>GatiGo's Q1 FY2026 closed with a net loss of ₹(4.32L) against a budgeted loss of ₹(2.33L) — an unfavourable variance of ₹(1.99L). The shortfall was driven by two compounding forces: a revenue miss of ₹1.18L (ride volume and corporate client onboarding lagged plan) and a cost overrun of ₹1.02L (marketing and cloud spend exceeded budget). However, the underlying unit economics are improving month-on-month: contribution margin per ride grew from ₹17 in January to ₹40 in March, and the net loss narrowed from ₹(1.73L) to ₹(0.97L). GatiGo is loss-making by design in Q1 — investing in user acquisition and infrastructure. The path to profitability is intact if Q2 corporate revenue pipeline closes and daily ride volume reaches 390+ (break-even level).</t>
  </si>
  <si>
    <t>KEY INSIGHTS — What the Numbers Are Telling You</t>
  </si>
  <si>
    <t>🔴</t>
  </si>
  <si>
    <t>Revenue missed budget by 13.5%</t>
  </si>
  <si>
    <t>Total Q1 revenue was ₹7.07L vs ₹8.17L budgeted. The gap stems from three sources: (1) ride volume 14% below plan in Jan-Feb due to slow referral programme uptake, (2) corporate client count 1 below target every month (one deal in procurement delay), (3) intercity feature launched 2 weeks late, losing ₹1.92L of budgeted Feb-Mar revenue. This is a market timing issue, not a product-market fit failure — all three causes are fixable.</t>
  </si>
  <si>
    <t>Monitor: Daily rides vs plan (weekly)</t>
  </si>
  <si>
    <t>Unfavourable</t>
  </si>
  <si>
    <t>Corporate revenue is the highest-quality revenue stream</t>
  </si>
  <si>
    <t>Corporate Partnership Fees contributed ₹3.24L of Q1 revenue at ~90% gross margin (after TDS). This is GatiGo's most predictable, high-margin, and scalable revenue line. Yet it was the most under-budgeted relative to achievable targets. Q2 pipeline has 3 new corporates in late-stage discussion — if all close, corporate revenue could double to ₹6.5L in Q2 alone.</t>
  </si>
  <si>
    <t>Priority: Accelerate corporate pipeline</t>
  </si>
  <si>
    <t>Strategic</t>
  </si>
  <si>
    <t>Marketing overspend is actually ROI-positive</t>
  </si>
  <si>
    <t>Marketing exceeded budget by ₹1.0L in Q1. However, digital CAC improved from ₹133/user (Jan) to ₹111/user (Mar). Each new user generates estimated LTV of ₹2,400 at current ride frequency. At ₹111 CAC, the LTV/CAC ratio is ~21.6x over 12 months — excellent. The 'overspend' is rational investment, not waste. Budget needs to be revised upward to match actual strategy.</t>
  </si>
  <si>
    <t>Action: Revise Q2 marketing budget</t>
  </si>
  <si>
    <t>Nuanced</t>
  </si>
  <si>
    <t>Driver incentive structure needs optimisation</t>
  </si>
  <si>
    <t>Driver incentives consumed ₹7.50L in Q1 — the single largest cost line (61% of variable costs). At ₹50/ride flat, this leaves GatiGo with only ₹17–₹40 contribution margin per ride depending on commission earned. A tiered incentive model (₹45/ride for &gt;15 rides/day, ₹55 for &lt;10) could reduce avg payout to ₹46 and improve Q2 contribution margin by ₹12K/month.</t>
  </si>
  <si>
    <t>Action: Model tiered incentive structure</t>
  </si>
  <si>
    <t>Cost reduction</t>
  </si>
  <si>
    <t>Loss trajectory is narrowing — Q3 profitability on track</t>
  </si>
  <si>
    <t>Monthly net loss: Jan ₹(1.73L) → Feb ₹(1.62L) → Mar ₹(0.97L). This 44% improvement in 2 months, driven by ride volume growth and sub-revenue scaling. At current velocity, EBITDA break-even requires ~390 rides/day. The model projects this is achievable in Q3 FY2026 if corporate clients scale to 12+ and daily rides reach 320 by end of Q2.</t>
  </si>
  <si>
    <t>Outlook: Q3 profitability feasible</t>
  </si>
  <si>
    <t>Favourable</t>
  </si>
  <si>
    <t>Cloud infrastructure budget model is broken</t>
  </si>
  <si>
    <t>Cloud hosting was budgeted at a flat ₹30K/month — a critical modelling error. Actual costs scaled with ride volume: ₹35K → ₹38K → ₹42K. This is expected for a platform business (AWS Lambda, RDS, Maps API all scale with usage). The Q2 cloud budget must be modelled as a variable cost: ₹30K base + ₹0.50 per ride/day above 200. Failure to fix this will cause recurring budget misses.</t>
  </si>
  <si>
    <t>Action: Rebuild infra cost model</t>
  </si>
  <si>
    <t>Process improvement</t>
  </si>
  <si>
    <t>RECOMMENDATIONS — Ranked by Impact</t>
  </si>
  <si>
    <t>#1</t>
  </si>
  <si>
    <t>CLOSE THE CORPORATE PIPELINE — Q2 Priority #1</t>
  </si>
  <si>
    <t>Impact: ₹+2.5L revenue | Timeline: 30 days</t>
  </si>
  <si>
    <t>HIGH</t>
  </si>
  <si>
    <t>Revenue</t>
  </si>
  <si>
    <t>3 corporates in late-stage discussion (estimated ₹75K/month combined). Assign dedicated BD resource (already hired in Mar). Offer 30-day free trial to accelerate procurement. Corporate revenue has 90%+ gross margin and is recurring — closing these deals is worth more than any cost cut.</t>
  </si>
  <si>
    <t>#2</t>
  </si>
  <si>
    <t>IMPLEMENT TIERED DRIVER INCENTIVE MODEL</t>
  </si>
  <si>
    <t>Impact: ₹-12K cost/month | Timeline: 45 days</t>
  </si>
  <si>
    <t>Margin</t>
  </si>
  <si>
    <t>Replace flat ₹50/ride with: ₹55 for &lt;10 rides/day (retain supply), ₹50 for 10–20 rides/day (standard), ₹45 for &gt;20 rides/day (efficiency reward). Model shows avg incentive drops to ₹46 — saves ₹12K/month at current volume, ₹28K/month at Q3 target volume. Pilot with 20% of drivers in April.</t>
  </si>
  <si>
    <t>#3</t>
  </si>
  <si>
    <t>REBUILD CLOUD COST MODEL AS VARIABLE</t>
  </si>
  <si>
    <t>Impact: Eliminates budget miss | Timeline: 14 days</t>
  </si>
  <si>
    <t>MEDIUM</t>
  </si>
  <si>
    <t>Process</t>
  </si>
  <si>
    <t>Work with tech lead to model: ₹30K fixed + ₹0.50 per incremental ride-day. Add to Q2 budget immediately. Consider reserved EC2 instances for baseline load (saves ~18% on compute vs on-demand). This is a one-week finance + tech task that prevents a recurring ₹10-12K monthly budget variance.</t>
  </si>
  <si>
    <t>#4</t>
  </si>
  <si>
    <t>LAUNCH IN-APP PREMIUM UPSELL FLOW</t>
  </si>
  <si>
    <t>Impact: ₹+18K revenue/month | Timeline: 21 days</t>
  </si>
  <si>
    <t>Premium subs underperformed due to in-app upsell not going live until Feb 15. A/B test two creatives: (a) post-ride prompt 'Save ₹200 next month — subscribe to Premium', (b) onboarding flow for users who complete 3 rides. Target: conversion from 3.2% to 5% → adds ~120 subs/month → ₹24K incremental monthly revenue.</t>
  </si>
  <si>
    <t>#5</t>
  </si>
  <si>
    <t>FORMALISE OFFLINE CAMPUS ACTIVATION PROGRAMME</t>
  </si>
  <si>
    <t>Impact: CAC ₹47 vs ₹111 digital | Timeline: Ongoing</t>
  </si>
  <si>
    <t>Acquisition</t>
  </si>
  <si>
    <t>Campus activations generated 320 users at ₹47 CAC — 58% cheaper than digital. Yet offline budget was underplanned (₹10K budget vs ₹15-25K actual). Formalise a campus activation calendar for Q2: target 6 colleges in Hyderabad. Budget ₹30K/month offline. Expected: 800 new users/month at ₹37.5 CAC. Payback period: &lt;1 month.</t>
  </si>
  <si>
    <t>#6</t>
  </si>
  <si>
    <t>BUILD INVESTOR-READY UNIT ECONOMICS DASHBOARD</t>
  </si>
  <si>
    <t>Impact: Fundraising readiness | Timeline: 60 days</t>
  </si>
  <si>
    <t>LOW</t>
  </si>
  <si>
    <t>For Series A readiness, formalise: weekly cohort tracking (D7/D30 retention per acquisition channel), monthly CAC by channel, ride frequency distribution, and LTV model. GatiGo's unit economics are improving and tell a compelling story — but the data isn't currently structured for investor diligence. This workbook is a start; build a live dashboard in Metabase or Looker Studio.</t>
  </si>
  <si>
    <t>GatiGo — Q1 FY2026  |  Variance Analysis: Actual vs Budget + Business Reasons</t>
  </si>
  <si>
    <t>Variance = Actual − Budget for revenue; Budget − Actual for costs.  Positive = Favourable (F).  Negative = Unfavourable (U).</t>
  </si>
  <si>
    <t>Metric</t>
  </si>
  <si>
    <t>Q1 Actual</t>
  </si>
  <si>
    <t>Q1 Budget</t>
  </si>
  <si>
    <t>Variance ₹</t>
  </si>
  <si>
    <t>Var %</t>
  </si>
  <si>
    <t>F / (U)</t>
  </si>
  <si>
    <t>📌 Business Reason (WHY)</t>
  </si>
  <si>
    <t>TOTAL REVENUE</t>
  </si>
  <si>
    <t>✘ Unfav</t>
  </si>
  <si>
    <t>Revenue missed budget by ₹1.18L (Q1). Ride volume underperformed by ~14% vs plan. Corporate client onboarding was slower than forecast (4 vs 5 clients in Jan). Intercity launch in Feb was ½ month later than budgeted, losing 2 weeks of revenue.</t>
  </si>
  <si>
    <t xml:space="preserve">  Ride Commission</t>
  </si>
  <si>
    <t>Budgeted 210 rides/day in Jan; actual was 180 rides/day. Slow user acquisition in launch month — referral programme took 3 weeks to gain traction. Fare per ride was in line with budget (₹150).</t>
  </si>
  <si>
    <t xml:space="preserve">  Intercity Revenue</t>
  </si>
  <si>
    <t>Intercity feature launched mid-Feb instead of Feb 1 (2-week delay due to Google Maps API integration issues). Feb revenue was ₹3,840 vs ₹5,760 budgeted. Full-month impact visible from Mar.</t>
  </si>
  <si>
    <t xml:space="preserve">  Corporate Fees</t>
  </si>
  <si>
    <t>Budgeted 5 corporate clients in Jan; actual was 4. One contract (Hyderabad fintech co.) delayed to Q2 due to procurement process. Upsell to ₹28K/month (budgeted for Mar) did not materialise — all clients stayed at ₹24K standard contract.</t>
  </si>
  <si>
    <t xml:space="preserve">  Premium Subscriptions</t>
  </si>
  <si>
    <t>Sub growth lagged budget by ~20%. In-app upsell prompt was not live until Feb 15. Email nurture sequence conversion rate was 3.2% vs 5% assumed in budget. Price (₹199) and churn were in line with plan.</t>
  </si>
  <si>
    <t xml:space="preserve">  Advertising Revenue</t>
  </si>
  <si>
    <t>Ad revenue tracks DAU (daily active users). Since ride volume missed budget, fewer impressions → lower CPM yield. Jan ad rev ₹18K vs ₹25K budgeted. One advertiser (local restaurant chain) pulled Feb campaign due to internal budget freeze.</t>
  </si>
  <si>
    <t>TOTAL COST OF REVENUE</t>
  </si>
  <si>
    <t>✔ Fav</t>
  </si>
  <si>
    <t>Variable CoR is favourable: fewer rides than budgeted means proportionally lower driver payouts and gateway fees. However, driver incentive per ride stayed flat at ₹50 (vs ₹48 target for Mar) — efficiency saving not yet captured.</t>
  </si>
  <si>
    <t xml:space="preserve">  Driver Incentives</t>
  </si>
  <si>
    <t>Lower total payout due to fewer rides (180/day actual vs 210/day budget in Jan). Per-ride incentive of ₹50 remained unchanged — planned reduction to ₹48 in Mar was not implemented as driver supply was still constrained in Hyderabad West.</t>
  </si>
  <si>
    <t xml:space="preserve">  Referral Bonuses</t>
  </si>
  <si>
    <t>Fewer new users acquired than budgeted (600/month actual vs 700 budget in Jan), resulting in lower referral payouts. ₹50/user bonus budget unchanged; Mar reduction to ₹40 was implemented, saving ₹18K vs plan.</t>
  </si>
  <si>
    <t>GROSS PROFIT</t>
  </si>
  <si>
    <t>Gross profit missed budget because revenue underperformance (₹1.18L gap) outweighed the partial CoR saving (₹0.93L saving). Net gross profit gap = ₹0.25L. Gross margin of 20.1% actual vs 22.4% budgeted — 230 bps compression driven by revenue miss.</t>
  </si>
  <si>
    <t>TOTAL OPEX</t>
  </si>
  <si>
    <t>OpEx exceeded budget by ₹1.02L in Q1 — the largest variance driver. Marketing overspend (₹1.0L above budget) + BD salary overrun in Mar (₹15K unplanned hire) + cloud hosting scaling with ride volume (₹35-42K vs ₹30K flat budget).</t>
  </si>
  <si>
    <t xml:space="preserve">  Salaries — Sales &amp; BD</t>
  </si>
  <si>
    <t>Mar salary overrun: brought forward a planned Q2 BD hire by 4 weeks to accelerate corporate pipeline. ₹15K incremental cost in Mar only. Annualised impact is ₹1.8L — will be offset by corporate revenue expected in Q2.</t>
  </si>
  <si>
    <t xml:space="preserve">  App Hosting &amp; Cloud</t>
  </si>
  <si>
    <t>Budget assumed flat ₹30K/month. Actual scaled with ride volume and intercity feature rollout — additional AWS Lambda invocations for route-matching pushed Jan to ₹35K, Mar to ₹42K. Infrastructure budget model needs revision for Q2.</t>
  </si>
  <si>
    <t xml:space="preserve">  Marketing — Digital</t>
  </si>
  <si>
    <t>Deliberately overspent vs budget to accelerate user acquisition in launch quarter. Jan spend ₹80K vs ₹70K budget — extra ₹10K on Google UAC campaigns. CAC improved month-on-month (Jan ₹133 → Mar ₹111) showing positive ROI on incremental spend.</t>
  </si>
  <si>
    <t xml:space="preserve">  Marketing — Offline</t>
  </si>
  <si>
    <t>Campus activation events (JNTU, BITS Hyderabad) ran in all 3 months vs 2 months budgeted. Events generated 320 new signups at avg ₹47/signup — below digital CAC. Decision to continue offline activation was correct; budget needs updating.</t>
  </si>
  <si>
    <t>EBITDA</t>
  </si>
  <si>
    <t>EBITDA loss deeper than budgeted (₹(3.25L) actual vs ₹(1.18L) budget). Two compounding factors: (1) revenue miss of ₹1.18L and (2) OpEx overrun of ₹1.02L. Positive trajectory: Mar EBITDA loss narrowed to ₹(0.95L) from Jan's ₹(1.53L).</t>
  </si>
  <si>
    <t>NET PROFIT / (LOSS)</t>
  </si>
  <si>
    <t>Q1 net loss of ₹(4.32L) vs budget of ₹(2.33L). D&amp;A and interest are fixed and in line with budget. All variance is operational. Loss trajectory improving: Jan ₹(1.73L) → Feb ₹(1.62L) → Mar ₹(0.97L). Full-year path to profitability intact if Q2 corporate revenue lands.</t>
  </si>
  <si>
    <t>GatiGo — Unit Economics  |  Q1 FY2026  |  Per-Ride &amp; Per-User Analysis</t>
  </si>
  <si>
    <t>Unit economics reveal whether the business is fundamentally healthy PER TRANSACTION — independent of scale. Critical for startup investors.</t>
  </si>
  <si>
    <t>A. PER-RIDE ECONOMICS  —  Every ride's contribution to the business</t>
  </si>
  <si>
    <t>Jan Actual</t>
  </si>
  <si>
    <t>Feb Actual</t>
  </si>
  <si>
    <t>Mar Actual</t>
  </si>
  <si>
    <t>Jan Budget</t>
  </si>
  <si>
    <t>Feb Budget</t>
  </si>
  <si>
    <t>Mar Budget</t>
  </si>
  <si>
    <t>Jan vs Bud ▲▼</t>
  </si>
  <si>
    <t>Total Rides (volume)</t>
  </si>
  <si>
    <t>Avg Ride Fare per Ride (₹)</t>
  </si>
  <si>
    <t>GatiGo Revenue per Ride (₹)  [commission net GST]</t>
  </si>
  <si>
    <t>Driver Incentive per Ride (₹)  [variable cost]</t>
  </si>
  <si>
    <t>Payment Gateway Fee per Ride (₹)</t>
  </si>
  <si>
    <t>★ CONTRIBUTION MARGIN per Ride (₹)  [Rev - Var Cost]</t>
  </si>
  <si>
    <t>Contribution Margin %  [CM / Revenue per Ride]</t>
  </si>
  <si>
    <t>Break-Even Rides/Day  [Fixed Costs ÷ CM per ride × 30 days]</t>
  </si>
  <si>
    <t>B. PER-USER ECONOMICS  —  Customer Acquisition Cost (CAC) &amp; Lifetime Value (LTV)</t>
  </si>
  <si>
    <t>New Users Acquired</t>
  </si>
  <si>
    <t>Total Marketing Spend (₹)</t>
  </si>
  <si>
    <t>Referral Bonus Spend (₹)</t>
  </si>
  <si>
    <t>Total Acquisition Spend (₹)</t>
  </si>
  <si>
    <t>★ CAC — Cost per New User (₹)</t>
  </si>
  <si>
    <t>Monthly Rev per Active User (₹)</t>
  </si>
  <si>
    <t>Estimated LTV (12-mo, ₹)</t>
  </si>
  <si>
    <t>★ LTV / CAC Ratio</t>
  </si>
  <si>
    <t>C. HOW TO INTERPRET UNIT ECONOMICS</t>
  </si>
  <si>
    <t>Contribution Margin per Ride</t>
  </si>
  <si>
    <t>Target: ₹40–60. GatiGo Q1 avg: ~₹17 (Jan) to ₹40 (Mar). Improvement driven by scale. Contribution margin must exceed ₹0 for each ride to contribute to fixed cost recovery. Mar is on track.</t>
  </si>
  <si>
    <t>Break-Even Rides / Day</t>
  </si>
  <si>
    <t>This is the daily ride volume at which GatiGo recovers ALL fixed costs from contribution margin alone. Actual: ~390 rides/day needed. Q1 avg daily rides ~160 → still loss-making. Scale is the priority.</t>
  </si>
  <si>
    <t>CAC (Customer Acquisition Cost)</t>
  </si>
  <si>
    <t>Industry benchmark for mobility startups: ₹150–₹300/user. GatiGo Q1 CAC trending ₹160→₹133 (Jan→Mar). Improving. Target &lt;₹120 by Q3 as referral programme matures.</t>
  </si>
  <si>
    <t>LTV / CAC Ratio</t>
  </si>
  <si>
    <t>Healthy SaaS/marketplace: &gt;3x. Mobility startups often 1.5–2.5x early stage. GatiGo at ~1.8x in Mar. Target: 3x+ by Q4 via higher ride frequency and subscription upsell.</t>
  </si>
  <si>
    <t>Why this matters to investors</t>
  </si>
  <si>
    <t>Investors (esp. early-stage VCs) value unit economics more than total P&amp;L. A company losing money at the top line but with improving per-ride economics and CAC is MORE fundable than one showing profits via cost-cutting alone.</t>
  </si>
  <si>
    <t>GatiGo — Scenario Analysis  |  3 Cases × Q2 FY2026 Projection</t>
  </si>
  <si>
    <t>Change the ASSUMPTION INPUTS in rows 5–14 (blue cells) to see how the full P&amp;L shifts across Base / High / Low scenarios.</t>
  </si>
  <si>
    <t>Assumption Driver</t>
  </si>
  <si>
    <t>Base Case</t>
  </si>
  <si>
    <t>High Growth</t>
  </si>
  <si>
    <t>Low Growth</t>
  </si>
  <si>
    <t>Current Q1 Actual</t>
  </si>
  <si>
    <t>Base vs Q1 Δ</t>
  </si>
  <si>
    <t>Daily Rides (avg)</t>
  </si>
  <si>
    <t>Avg Ride Fare (₹)</t>
  </si>
  <si>
    <t>Commission Rate</t>
  </si>
  <si>
    <t>Corporate Clients</t>
  </si>
  <si>
    <t>Corporate Contract (₹)</t>
  </si>
  <si>
    <t>Premium Subscribers</t>
  </si>
  <si>
    <t>Premium Price (₹)</t>
  </si>
  <si>
    <t>Ad Revenue / Month (₹)</t>
  </si>
  <si>
    <t>Driver Incentive/Ride (₹)</t>
  </si>
  <si>
    <t>Marketing Budget (₹/mo)</t>
  </si>
  <si>
    <t>Working Days per Month (Q2)</t>
  </si>
  <si>
    <t>── PROJECTED MONTHLY P&amp;L  (formulas driven by assumption inputs above) ──</t>
  </si>
  <si>
    <t>Monthly Rides (vol)</t>
  </si>
  <si>
    <t xml:space="preserve">  Corporate Fees (net)</t>
  </si>
  <si>
    <t xml:space="preserve">  Premium Revenue</t>
  </si>
  <si>
    <t xml:space="preserve">  Ad Revenue</t>
  </si>
  <si>
    <t>VARIABLE COSTS</t>
  </si>
  <si>
    <t xml:space="preserve">  Gateway + Referrals</t>
  </si>
  <si>
    <t xml:space="preserve">  Fixed Salaries</t>
  </si>
  <si>
    <t xml:space="preserve">  Cloud &amp; Office</t>
  </si>
  <si>
    <t xml:space="preserve">  Marketing Budget</t>
  </si>
  <si>
    <t xml:space="preserve">  Support + Legal</t>
  </si>
  <si>
    <t>── SCENARIO INTERPRETATION ──</t>
  </si>
  <si>
    <t>Base Case (teal)</t>
  </si>
  <si>
    <t>Q2 with 250 rides/day — ~25% growth from Mar actual. Corporate pipeline delivers 8 clients. Marketing maintained at Q1 exit rate. This is the most likely scenario given current trajectory.</t>
  </si>
  <si>
    <t>High Growth (green)</t>
  </si>
  <si>
    <t>350 rides/day — achievable if Bengaluru soft-launch in Apr delivers 100 incremental rides. Corporate upsell to ₹32K average. Requires ₹1.2L/month marketing budget. LTV/CAC improves to ~3x.</t>
  </si>
  <si>
    <t>Low Growth (red)</t>
  </si>
  <si>
    <t>150 rides/day — downside scenario if competitive pressure from QuickRide intensifies or if fuel prices rise 15%+ reducing driver supply. Corporate target drops to 5. Burn rate remains high; requires bridge funding.</t>
  </si>
  <si>
    <t>What to watch</t>
  </si>
  <si>
    <t>The most sensitive variable is daily ride volume. A 50-ride/day change moves EBITDA by ~₹38K/month (contribution margin ₹25/ride × 30 days × 50 rides). Fix ride volume first; revenue per ride follows.</t>
  </si>
  <si>
    <t>GatiGo — Q1 FY2026 Raw Data (Actuals &amp; Budget)</t>
  </si>
  <si>
    <t>Blue cells = editable inputs. Change any value → all sheets update automatically.</t>
  </si>
  <si>
    <t>Line Item</t>
  </si>
  <si>
    <t>Act Jan</t>
  </si>
  <si>
    <t>Act Feb</t>
  </si>
  <si>
    <t>Act Mar</t>
  </si>
  <si>
    <t>Act Q1</t>
  </si>
  <si>
    <t>Bud Jan</t>
  </si>
  <si>
    <t>Bud Feb</t>
  </si>
  <si>
    <t>Bud Mar</t>
  </si>
  <si>
    <t>Bud Q1</t>
  </si>
  <si>
    <t>── RIDES (Volume) ──</t>
  </si>
  <si>
    <t>── REVENUE ──</t>
  </si>
  <si>
    <t>Ride Commission Income</t>
  </si>
  <si>
    <t>Intercity Ride Revenue</t>
  </si>
  <si>
    <t>Corporate Partnership Fees</t>
  </si>
  <si>
    <t>Premium Subscriptions</t>
  </si>
  <si>
    <t>Advertising Revenue</t>
  </si>
  <si>
    <t>── COST OF REVENUE ──</t>
  </si>
  <si>
    <t>Payment Gateway Fees</t>
  </si>
  <si>
    <t>Referral Bonuses</t>
  </si>
  <si>
    <t>── OPERATING EXPENSES ──</t>
  </si>
  <si>
    <t>Salaries — Engineering</t>
  </si>
  <si>
    <t>Salaries — Operations</t>
  </si>
  <si>
    <t>Salaries — Sales &amp; BD</t>
  </si>
  <si>
    <t>App Hosting &amp; Cloud</t>
  </si>
  <si>
    <t>Office / Co-working</t>
  </si>
  <si>
    <t>Marketing — Digital</t>
  </si>
  <si>
    <t>Marketing — Offline</t>
  </si>
  <si>
    <t>Customer Support</t>
  </si>
  <si>
    <t>Legal &amp; Compliance</t>
  </si>
  <si>
    <t>Insurance</t>
  </si>
  <si>
    <t>Miscellaneous Admin</t>
  </si>
  <si>
    <t>── BELOW THE LINE ──</t>
  </si>
  <si>
    <t>Depreciation</t>
  </si>
  <si>
    <t>Interest on Loan</t>
  </si>
  <si>
    <t>GatiGo  |  Budget vs Actuals Analyst Dashboard  |  Documentation &amp; Credits</t>
  </si>
  <si>
    <t>ABOUT THIS PROJECT</t>
  </si>
  <si>
    <t>Project Name</t>
  </si>
  <si>
    <t>GatiGo — Q1 FY2026 Budget vs Actuals Analyst Dashboard</t>
  </si>
  <si>
    <t>Description</t>
  </si>
  <si>
    <t>A complete FP&amp;A analysis workbook demonstrating: variance analysis with business reasoning, unit economics, scenario modelling, and executive insights &amp; recommendations. Built to showcase analyst-level thinking, not just Excel formulas.</t>
  </si>
  <si>
    <t>Key Analyst Upgrades</t>
  </si>
  <si>
    <t>(1) WHY column for every variance — turns numbers into a story  (2) Unit Economics: per-ride contribution margin, CAC, LTV/CAC ratio, break-even rides  (3) Scenario Analysis: Base / High Growth / Low Growth with live formula engine  (4) Insights &amp; Recommendations: 6 insights + 6 ranked recommendations  (5) KPI Dashboard with 4 charts + 13 KPI metrics</t>
  </si>
  <si>
    <t>What This Demonstrates</t>
  </si>
  <si>
    <t>Financial modelling | Variance analysis | Business acumen | Startup unit economics | FP&amp;A storytelling | Scenario planning | Data-driven recommendations</t>
  </si>
  <si>
    <t>Academic Disclaimer</t>
  </si>
  <si>
    <t>⚠  This is NOT an actual startup. GatiGo is a design concept for a tech-driven carpooling platform, created as an academic entrepreneurship project. All financial figures are hypothetical and for educational/portfolio purposes only.</t>
  </si>
  <si>
    <t>MADE BY</t>
  </si>
  <si>
    <t>Author</t>
  </si>
  <si>
    <t>Anjani Kumar Mishra</t>
  </si>
  <si>
    <t>Portfolio</t>
  </si>
  <si>
    <t>https://inakm.github.io</t>
  </si>
  <si>
    <t>LinkedIn</t>
  </si>
  <si>
    <t>https://www.linkedin.com/in/inakmm</t>
  </si>
  <si>
    <t>Project Page</t>
  </si>
  <si>
    <t>https://inakm.github.io/page/projects/gatigo.html</t>
  </si>
  <si>
    <t>Company Demo Page</t>
  </si>
  <si>
    <t>https://f9xr.github.io/Client-Projects/GatiGo</t>
  </si>
  <si>
    <t>Workbook Sheets</t>
  </si>
  <si>
    <t>📋 Raw Data  |  📊 Variance Analysis  |  📐 Unit Economics  |  🎯 Scenario Analysis  |  💡 Insights &amp; Recommendations  |  📈 KPI Dashboard  |  ℹ️ About</t>
  </si>
  <si>
    <t>⚠  ACADEMIC PROJECT DISCLAIMER
This is not an actual startup. This financial model is a design concept for GatiGo, showcasing a tech-driven carpooling platform as part of an entrepreneurship course project. All companies, financial figures, projections, and metrics are hypothetical and created solely for educational and portfolio demonstration purposes. No actual business decisions should be made based on this model.</t>
  </si>
  <si>
    <t>CHART DATA</t>
  </si>
  <si>
    <t>KPI SCORECARD for Q1 FY2026</t>
  </si>
  <si>
    <t>GatiGo  |  KPI Dashboard  |  Q1 FY2026 : Visual Variance Analysis</t>
  </si>
  <si>
    <t>── ASSUMPTION INPUTS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</si>
</sst>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quot;(₹&quot;#,##0\);\-"/>
    <numFmt numFmtId="166" formatCode="0.0%;\(0.0%\);\-"/>
    <numFmt numFmtId="167" formatCode="#,##0.0;\(#,##0.0\);\-"/>
    <numFmt numFmtId="168" formatCode="0.0\x"/>
  </numFmts>
  <fonts count="31" x14ac:knownFonts="1">
    <font>
      <sz val="11"/>
      <color theme="1"/>
      <name val="Calibri"/>
      <family val="2"/>
      <charset val="1"/>
    </font>
    <font>
      <b/>
      <sz val="14"/>
      <color rgb="FFFFFFFF"/>
      <name val="Arial"/>
      <charset val="1"/>
    </font>
    <font>
      <b/>
      <sz val="11"/>
      <color rgb="FFFFFFFF"/>
      <name val="Arial"/>
      <charset val="1"/>
    </font>
    <font>
      <b/>
      <sz val="9"/>
      <color rgb="FFFFFFFF"/>
      <name val="Arial"/>
      <charset val="1"/>
    </font>
    <font>
      <sz val="9"/>
      <color rgb="FF455A64"/>
      <name val="Arial"/>
      <charset val="1"/>
    </font>
    <font>
      <sz val="9"/>
      <color rgb="FF000000"/>
      <name val="Arial"/>
      <charset val="1"/>
    </font>
    <font>
      <b/>
      <sz val="9"/>
      <color rgb="FF000000"/>
      <name val="Arial"/>
      <charset val="1"/>
    </font>
    <font>
      <b/>
      <sz val="9"/>
      <color rgb="FF0D1B2A"/>
      <name val="Arial"/>
      <charset val="1"/>
    </font>
    <font>
      <sz val="8"/>
      <color rgb="FF000000"/>
      <name val="Arial"/>
      <charset val="1"/>
    </font>
    <font>
      <i/>
      <sz val="9"/>
      <color rgb="FF455A64"/>
      <name val="Arial"/>
      <charset val="1"/>
    </font>
    <font>
      <sz val="10"/>
      <color rgb="FF000000"/>
      <name val="Arial"/>
      <charset val="1"/>
    </font>
    <font>
      <sz val="12"/>
      <color rgb="FF000000"/>
      <name val="Arial"/>
      <charset val="1"/>
    </font>
    <font>
      <b/>
      <sz val="10"/>
      <color rgb="FFB71C1C"/>
      <name val="Arial"/>
      <charset val="1"/>
    </font>
    <font>
      <i/>
      <sz val="9"/>
      <color rgb="FF37474F"/>
      <name val="Arial"/>
      <charset val="1"/>
    </font>
    <font>
      <b/>
      <sz val="9"/>
      <color rgb="FF283593"/>
      <name val="Arial"/>
      <charset val="1"/>
    </font>
    <font>
      <b/>
      <sz val="10"/>
      <color rgb="FFE65100"/>
      <name val="Arial"/>
      <charset val="1"/>
    </font>
    <font>
      <b/>
      <sz val="10"/>
      <color rgb="FF2E7D32"/>
      <name val="Arial"/>
      <charset val="1"/>
    </font>
    <font>
      <b/>
      <sz val="10"/>
      <color rgb="FF0D1B2A"/>
      <name val="Arial"/>
      <charset val="1"/>
    </font>
    <font>
      <b/>
      <sz val="9"/>
      <color rgb="FF2E7D32"/>
      <name val="Arial"/>
      <charset val="1"/>
    </font>
    <font>
      <b/>
      <sz val="9"/>
      <color rgb="FF4527A0"/>
      <name val="Arial"/>
      <charset val="1"/>
    </font>
    <font>
      <b/>
      <sz val="13"/>
      <color rgb="FFFFFFFF"/>
      <name val="Arial"/>
      <charset val="1"/>
    </font>
    <font>
      <b/>
      <sz val="9"/>
      <color rgb="FFB71C1C"/>
      <name val="Arial"/>
      <charset val="1"/>
    </font>
    <font>
      <b/>
      <sz val="8"/>
      <color rgb="FF37474F"/>
      <name val="Arial"/>
      <charset val="1"/>
    </font>
    <font>
      <i/>
      <sz val="8"/>
      <color rgb="FF37474F"/>
      <name val="Arial"/>
      <charset val="1"/>
    </font>
    <font>
      <sz val="9"/>
      <color rgb="FF1B6B1B"/>
      <name val="Arial"/>
      <charset val="1"/>
    </font>
    <font>
      <b/>
      <sz val="9"/>
      <color rgb="FF1B6B1B"/>
      <name val="Arial"/>
      <charset val="1"/>
    </font>
    <font>
      <b/>
      <sz val="10"/>
      <color rgb="FFFFFFFF"/>
      <name val="Arial"/>
      <charset val="1"/>
    </font>
    <font>
      <b/>
      <sz val="9"/>
      <color rgb="FF0000FF"/>
      <name val="Arial"/>
      <charset val="1"/>
    </font>
    <font>
      <sz val="9"/>
      <color rgb="FF37474F"/>
      <name val="Arial"/>
      <charset val="1"/>
    </font>
    <font>
      <i/>
      <sz val="9"/>
      <color rgb="FF1565C0"/>
      <name val="Arial"/>
      <charset val="1"/>
    </font>
    <font>
      <sz val="9"/>
      <color rgb="FFE65100"/>
      <name val="Arial"/>
      <charset val="1"/>
    </font>
  </fonts>
  <fills count="20">
    <fill>
      <patternFill patternType="none"/>
    </fill>
    <fill>
      <patternFill patternType="gray125"/>
    </fill>
    <fill>
      <patternFill patternType="solid">
        <fgColor rgb="FF0D1B2A"/>
        <bgColor rgb="FF000000"/>
      </patternFill>
    </fill>
    <fill>
      <patternFill patternType="solid">
        <fgColor rgb="FF1565C0"/>
        <bgColor rgb="FF4672A8"/>
      </patternFill>
    </fill>
    <fill>
      <patternFill patternType="solid">
        <fgColor rgb="FFF5F5F5"/>
        <bgColor rgb="FFF9F9F9"/>
      </patternFill>
    </fill>
    <fill>
      <patternFill patternType="solid">
        <fgColor rgb="FFFAFAFA"/>
        <bgColor rgb="FFF9F9F9"/>
      </patternFill>
    </fill>
    <fill>
      <patternFill patternType="solid">
        <fgColor rgb="FFE3F2FD"/>
        <bgColor rgb="FFE8F5E9"/>
      </patternFill>
    </fill>
    <fill>
      <patternFill patternType="solid">
        <fgColor rgb="FFFFF3E0"/>
        <bgColor rgb="FFFFEBEE"/>
      </patternFill>
    </fill>
    <fill>
      <patternFill patternType="solid">
        <fgColor rgb="FF37474F"/>
        <bgColor rgb="FF455A64"/>
      </patternFill>
    </fill>
    <fill>
      <patternFill patternType="solid">
        <fgColor rgb="FFFFEBEE"/>
        <bgColor rgb="FFFFF3E0"/>
      </patternFill>
    </fill>
    <fill>
      <patternFill patternType="solid">
        <fgColor rgb="FFEDE7F6"/>
        <bgColor rgb="FFE3F2FD"/>
      </patternFill>
    </fill>
    <fill>
      <patternFill patternType="solid">
        <fgColor rgb="FFB71C1C"/>
        <bgColor rgb="FF993366"/>
      </patternFill>
    </fill>
    <fill>
      <patternFill patternType="solid">
        <fgColor rgb="FF00838F"/>
        <bgColor rgb="FF006064"/>
      </patternFill>
    </fill>
    <fill>
      <patternFill patternType="solid">
        <fgColor rgb="FFE65100"/>
        <bgColor rgb="FFAB4744"/>
      </patternFill>
    </fill>
    <fill>
      <patternFill patternType="solid">
        <fgColor rgb="FFE8F5E9"/>
        <bgColor rgb="FFE3F2FD"/>
      </patternFill>
    </fill>
    <fill>
      <patternFill patternType="solid">
        <fgColor rgb="FF2E7D32"/>
        <bgColor rgb="FF1B6B1B"/>
      </patternFill>
    </fill>
    <fill>
      <patternFill patternType="solid">
        <fgColor rgb="FF283593"/>
        <bgColor rgb="FF4527A0"/>
      </patternFill>
    </fill>
    <fill>
      <patternFill patternType="solid">
        <fgColor rgb="FF455A64"/>
        <bgColor rgb="FF37474F"/>
      </patternFill>
    </fill>
    <fill>
      <patternFill patternType="solid">
        <fgColor rgb="FFFFFDE7"/>
        <bgColor rgb="FFFAFAFA"/>
      </patternFill>
    </fill>
    <fill>
      <patternFill patternType="solid">
        <fgColor rgb="FF006064"/>
        <bgColor rgb="FF1B6B1B"/>
      </patternFill>
    </fill>
  </fills>
  <borders count="5">
    <border>
      <left/>
      <right/>
      <top/>
      <bottom/>
      <diagonal/>
    </border>
    <border>
      <left style="thin">
        <color rgb="FF90A4AE"/>
      </left>
      <right/>
      <top style="thin">
        <color rgb="FF90A4AE"/>
      </top>
      <bottom style="thin">
        <color rgb="FF90A4AE"/>
      </bottom>
      <diagonal/>
    </border>
    <border>
      <left style="thin">
        <color rgb="FF90A4AE"/>
      </left>
      <right style="thin">
        <color rgb="FF90A4AE"/>
      </right>
      <top style="thin">
        <color rgb="FF90A4AE"/>
      </top>
      <bottom style="thin">
        <color rgb="FF90A4AE"/>
      </bottom>
      <diagonal/>
    </border>
    <border>
      <left style="thin">
        <color rgb="FF90A4AE"/>
      </left>
      <right style="thin">
        <color rgb="FF90A4AE"/>
      </right>
      <top style="thin">
        <color rgb="FF90A4AE"/>
      </top>
      <bottom style="medium">
        <color rgb="FF0D1B2A"/>
      </bottom>
      <diagonal/>
    </border>
    <border>
      <left style="thin">
        <color rgb="FF90A4AE"/>
      </left>
      <right style="thin">
        <color rgb="FF90A4AE"/>
      </right>
      <top style="thin">
        <color rgb="FF90A4AE"/>
      </top>
      <bottom/>
      <diagonal/>
    </border>
  </borders>
  <cellStyleXfs count="1">
    <xf numFmtId="0" fontId="0" fillId="0" borderId="0"/>
  </cellStyleXfs>
  <cellXfs count="126">
    <xf numFmtId="0" fontId="0" fillId="0" borderId="0" xfId="0"/>
    <xf numFmtId="0" fontId="3"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4" fillId="5" borderId="2" xfId="0" applyFont="1" applyFill="1" applyBorder="1" applyAlignment="1">
      <alignment horizontal="left" vertical="center"/>
    </xf>
    <xf numFmtId="164" fontId="5" fillId="5" borderId="2" xfId="0" applyNumberFormat="1" applyFont="1" applyFill="1" applyBorder="1" applyAlignment="1">
      <alignment horizontal="right" vertical="center"/>
    </xf>
    <xf numFmtId="164" fontId="6" fillId="6" borderId="2" xfId="0" applyNumberFormat="1" applyFont="1" applyFill="1" applyBorder="1" applyAlignment="1">
      <alignment horizontal="right" vertical="center"/>
    </xf>
    <xf numFmtId="0" fontId="0" fillId="4" borderId="2" xfId="0" applyFill="1" applyBorder="1"/>
    <xf numFmtId="164" fontId="5" fillId="7" borderId="2" xfId="0" applyNumberFormat="1" applyFont="1" applyFill="1" applyBorder="1" applyAlignment="1">
      <alignment horizontal="right" vertical="center"/>
    </xf>
    <xf numFmtId="164" fontId="6" fillId="7" borderId="2" xfId="0" applyNumberFormat="1" applyFont="1" applyFill="1" applyBorder="1" applyAlignment="1">
      <alignment horizontal="right" vertical="center"/>
    </xf>
    <xf numFmtId="165" fontId="5" fillId="5" borderId="2" xfId="0" applyNumberFormat="1" applyFont="1" applyFill="1" applyBorder="1" applyAlignment="1">
      <alignment horizontal="right" vertical="center"/>
    </xf>
    <xf numFmtId="165" fontId="6" fillId="6" borderId="2" xfId="0" applyNumberFormat="1" applyFont="1" applyFill="1" applyBorder="1" applyAlignment="1">
      <alignment horizontal="right" vertical="center"/>
    </xf>
    <xf numFmtId="165" fontId="5" fillId="7" borderId="2" xfId="0" applyNumberFormat="1" applyFont="1" applyFill="1" applyBorder="1" applyAlignment="1">
      <alignment horizontal="right" vertical="center"/>
    </xf>
    <xf numFmtId="165" fontId="6" fillId="7" borderId="2" xfId="0" applyNumberFormat="1" applyFont="1" applyFill="1" applyBorder="1" applyAlignment="1">
      <alignment horizontal="right" vertical="center"/>
    </xf>
    <xf numFmtId="166" fontId="5" fillId="5" borderId="2" xfId="0" applyNumberFormat="1" applyFont="1" applyFill="1" applyBorder="1" applyAlignment="1">
      <alignment horizontal="right" vertical="center"/>
    </xf>
    <xf numFmtId="166" fontId="6" fillId="6" borderId="2" xfId="0" applyNumberFormat="1" applyFont="1" applyFill="1" applyBorder="1" applyAlignment="1">
      <alignment horizontal="right" vertical="center"/>
    </xf>
    <xf numFmtId="166" fontId="5" fillId="7" borderId="2" xfId="0" applyNumberFormat="1" applyFont="1" applyFill="1" applyBorder="1" applyAlignment="1">
      <alignment horizontal="right" vertical="center"/>
    </xf>
    <xf numFmtId="166" fontId="6" fillId="7" borderId="2" xfId="0" applyNumberFormat="1" applyFont="1" applyFill="1" applyBorder="1" applyAlignment="1">
      <alignment horizontal="right" vertical="center"/>
    </xf>
    <xf numFmtId="0" fontId="7" fillId="6" borderId="3" xfId="0" applyFont="1" applyFill="1" applyBorder="1" applyAlignment="1">
      <alignment horizontal="left" vertical="center"/>
    </xf>
    <xf numFmtId="165" fontId="6" fillId="6" borderId="3" xfId="0" applyNumberFormat="1" applyFont="1" applyFill="1" applyBorder="1" applyAlignment="1">
      <alignment horizontal="right" vertical="center"/>
    </xf>
    <xf numFmtId="165" fontId="5" fillId="7" borderId="3" xfId="0" applyNumberFormat="1" applyFont="1" applyFill="1" applyBorder="1" applyAlignment="1">
      <alignment horizontal="right" vertical="center"/>
    </xf>
    <xf numFmtId="165" fontId="6" fillId="7" borderId="3" xfId="0" applyNumberFormat="1" applyFont="1" applyFill="1" applyBorder="1" applyAlignment="1">
      <alignment horizontal="right" vertical="center"/>
    </xf>
    <xf numFmtId="166" fontId="6" fillId="6" borderId="3" xfId="0" applyNumberFormat="1" applyFont="1" applyFill="1" applyBorder="1" applyAlignment="1">
      <alignment horizontal="right" vertical="center"/>
    </xf>
    <xf numFmtId="166" fontId="5" fillId="7" borderId="3" xfId="0" applyNumberFormat="1" applyFont="1" applyFill="1" applyBorder="1" applyAlignment="1">
      <alignment horizontal="right" vertical="center"/>
    </xf>
    <xf numFmtId="166" fontId="6" fillId="7" borderId="3" xfId="0" applyNumberFormat="1" applyFont="1" applyFill="1" applyBorder="1" applyAlignment="1">
      <alignment horizontal="right" vertical="center"/>
    </xf>
    <xf numFmtId="0" fontId="0" fillId="4" borderId="0" xfId="0" applyFill="1"/>
    <xf numFmtId="0" fontId="8" fillId="0" borderId="0" xfId="0" applyFont="1"/>
    <xf numFmtId="165" fontId="8" fillId="0" borderId="0" xfId="0" applyNumberFormat="1" applyFont="1"/>
    <xf numFmtId="0" fontId="11" fillId="5" borderId="2" xfId="0" applyFont="1" applyFill="1" applyBorder="1" applyAlignment="1">
      <alignment horizontal="center" vertical="center"/>
    </xf>
    <xf numFmtId="0" fontId="12" fillId="9" borderId="2" xfId="0" applyFont="1" applyFill="1" applyBorder="1" applyAlignment="1">
      <alignment horizontal="left" vertical="center" wrapText="1"/>
    </xf>
    <xf numFmtId="0" fontId="0" fillId="5" borderId="2" xfId="0" applyFill="1" applyBorder="1"/>
    <xf numFmtId="0" fontId="15" fillId="7" borderId="2" xfId="0" applyFont="1" applyFill="1" applyBorder="1" applyAlignment="1">
      <alignment horizontal="left" vertical="center" wrapText="1"/>
    </xf>
    <xf numFmtId="0" fontId="16" fillId="14" borderId="2" xfId="0" applyFont="1" applyFill="1" applyBorder="1" applyAlignment="1">
      <alignment horizontal="left" vertical="center" wrapText="1"/>
    </xf>
    <xf numFmtId="0" fontId="2" fillId="11" borderId="2" xfId="0" applyFont="1" applyFill="1" applyBorder="1" applyAlignment="1">
      <alignment horizontal="center" vertical="center"/>
    </xf>
    <xf numFmtId="0" fontId="17" fillId="6" borderId="2" xfId="0" applyFont="1" applyFill="1" applyBorder="1" applyAlignment="1">
      <alignment horizontal="left" vertical="center" wrapText="1"/>
    </xf>
    <xf numFmtId="0" fontId="18" fillId="14" borderId="2" xfId="0" applyFont="1" applyFill="1" applyBorder="1" applyAlignment="1">
      <alignment horizontal="center" vertical="center"/>
    </xf>
    <xf numFmtId="0" fontId="3" fillId="11" borderId="2" xfId="0" applyFont="1" applyFill="1" applyBorder="1" applyAlignment="1">
      <alignment horizontal="center" vertical="center"/>
    </xf>
    <xf numFmtId="0" fontId="19" fillId="10" borderId="2" xfId="0" applyFont="1" applyFill="1" applyBorder="1" applyAlignment="1">
      <alignment horizontal="center" vertical="center"/>
    </xf>
    <xf numFmtId="0" fontId="2" fillId="13" borderId="2" xfId="0" applyFont="1" applyFill="1" applyBorder="1" applyAlignment="1">
      <alignment horizontal="center" vertical="center"/>
    </xf>
    <xf numFmtId="0" fontId="3" fillId="13" borderId="2" xfId="0" applyFont="1" applyFill="1" applyBorder="1" applyAlignment="1">
      <alignment horizontal="center" vertical="center"/>
    </xf>
    <xf numFmtId="0" fontId="2" fillId="12" borderId="2" xfId="0" applyFont="1" applyFill="1" applyBorder="1" applyAlignment="1">
      <alignment horizontal="center" vertical="center"/>
    </xf>
    <xf numFmtId="0" fontId="3" fillId="1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21" fillId="9" borderId="3" xfId="0" applyFont="1" applyFill="1" applyBorder="1" applyAlignment="1">
      <alignment horizontal="center" vertical="center"/>
    </xf>
    <xf numFmtId="0" fontId="22" fillId="18" borderId="3" xfId="0" applyFont="1" applyFill="1" applyBorder="1" applyAlignment="1">
      <alignment horizontal="left" vertical="center" wrapText="1"/>
    </xf>
    <xf numFmtId="0" fontId="21" fillId="9" borderId="2" xfId="0" applyFont="1" applyFill="1" applyBorder="1" applyAlignment="1">
      <alignment horizontal="center" vertical="center"/>
    </xf>
    <xf numFmtId="0" fontId="23" fillId="5" borderId="2" xfId="0" applyFont="1" applyFill="1" applyBorder="1" applyAlignment="1">
      <alignment horizontal="left" vertical="center" wrapText="1"/>
    </xf>
    <xf numFmtId="0" fontId="18" fillId="14"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16" borderId="2" xfId="0" applyFont="1" applyFill="1" applyBorder="1" applyAlignment="1">
      <alignment horizontal="center" vertical="center"/>
    </xf>
    <xf numFmtId="0" fontId="3" fillId="19" borderId="2" xfId="0" applyFont="1" applyFill="1" applyBorder="1" applyAlignment="1">
      <alignment horizontal="center" vertical="center"/>
    </xf>
    <xf numFmtId="0" fontId="3" fillId="8" borderId="2" xfId="0" applyFont="1" applyFill="1" applyBorder="1" applyAlignment="1">
      <alignment horizontal="center" vertical="center"/>
    </xf>
    <xf numFmtId="0" fontId="5" fillId="5" borderId="2" xfId="0" applyFont="1" applyFill="1" applyBorder="1" applyAlignment="1">
      <alignment horizontal="left" vertical="center"/>
    </xf>
    <xf numFmtId="164" fontId="24" fillId="5" borderId="2" xfId="0" applyNumberFormat="1" applyFont="1" applyFill="1" applyBorder="1" applyAlignment="1">
      <alignment horizontal="right" vertical="center"/>
    </xf>
    <xf numFmtId="164" fontId="25" fillId="6" borderId="2" xfId="0" applyNumberFormat="1" applyFont="1" applyFill="1" applyBorder="1" applyAlignment="1">
      <alignment horizontal="right" vertical="center"/>
    </xf>
    <xf numFmtId="164" fontId="24" fillId="7" borderId="2" xfId="0" applyNumberFormat="1" applyFont="1" applyFill="1" applyBorder="1" applyAlignment="1">
      <alignment horizontal="right" vertical="center"/>
    </xf>
    <xf numFmtId="164" fontId="25" fillId="7" borderId="2" xfId="0" applyNumberFormat="1" applyFont="1" applyFill="1" applyBorder="1" applyAlignment="1">
      <alignment horizontal="right" vertical="center"/>
    </xf>
    <xf numFmtId="164" fontId="5" fillId="18" borderId="2" xfId="0" applyNumberFormat="1" applyFont="1" applyFill="1" applyBorder="1" applyAlignment="1">
      <alignment horizontal="right" vertical="center"/>
    </xf>
    <xf numFmtId="165" fontId="5" fillId="4" borderId="2" xfId="0" applyNumberFormat="1" applyFont="1" applyFill="1" applyBorder="1" applyAlignment="1">
      <alignment horizontal="right" vertical="center"/>
    </xf>
    <xf numFmtId="165" fontId="5" fillId="18" borderId="2" xfId="0" applyNumberFormat="1" applyFont="1" applyFill="1" applyBorder="1" applyAlignment="1">
      <alignment horizontal="right" vertical="center"/>
    </xf>
    <xf numFmtId="0" fontId="4" fillId="9" borderId="2" xfId="0" applyFont="1" applyFill="1" applyBorder="1" applyAlignment="1">
      <alignment horizontal="left" vertical="center"/>
    </xf>
    <xf numFmtId="165" fontId="5" fillId="9" borderId="2" xfId="0" applyNumberFormat="1" applyFont="1" applyFill="1" applyBorder="1" applyAlignment="1">
      <alignment horizontal="right" vertical="center"/>
    </xf>
    <xf numFmtId="165" fontId="6" fillId="18" borderId="3" xfId="0" applyNumberFormat="1" applyFont="1" applyFill="1" applyBorder="1" applyAlignment="1">
      <alignment horizontal="right" vertical="center"/>
    </xf>
    <xf numFmtId="166" fontId="6" fillId="18" borderId="3" xfId="0" applyNumberFormat="1" applyFont="1" applyFill="1" applyBorder="1" applyAlignment="1">
      <alignment horizontal="right" vertical="center"/>
    </xf>
    <xf numFmtId="0" fontId="5" fillId="10" borderId="2" xfId="0" applyFont="1" applyFill="1" applyBorder="1" applyAlignment="1">
      <alignment horizontal="left" vertical="center"/>
    </xf>
    <xf numFmtId="167" fontId="19" fillId="10" borderId="2" xfId="0" applyNumberFormat="1" applyFont="1" applyFill="1" applyBorder="1" applyAlignment="1">
      <alignment horizontal="right" vertical="center"/>
    </xf>
    <xf numFmtId="167" fontId="19" fillId="18" borderId="2" xfId="0" applyNumberFormat="1" applyFont="1" applyFill="1" applyBorder="1" applyAlignment="1">
      <alignment horizontal="right" vertical="center"/>
    </xf>
    <xf numFmtId="164" fontId="5" fillId="4" borderId="2" xfId="0" applyNumberFormat="1" applyFont="1" applyFill="1" applyBorder="1" applyAlignment="1">
      <alignment horizontal="right" vertical="center"/>
    </xf>
    <xf numFmtId="165" fontId="6" fillId="4" borderId="3" xfId="0" applyNumberFormat="1" applyFont="1" applyFill="1" applyBorder="1" applyAlignment="1">
      <alignment horizontal="right" vertical="center"/>
    </xf>
    <xf numFmtId="168" fontId="6" fillId="6" borderId="3" xfId="0" applyNumberFormat="1" applyFont="1" applyFill="1" applyBorder="1" applyAlignment="1">
      <alignment horizontal="right" vertical="center"/>
    </xf>
    <xf numFmtId="168" fontId="6" fillId="4" borderId="3" xfId="0" applyNumberFormat="1" applyFont="1" applyFill="1" applyBorder="1" applyAlignment="1">
      <alignment horizontal="right" vertical="center"/>
    </xf>
    <xf numFmtId="168" fontId="6" fillId="18" borderId="3" xfId="0" applyNumberFormat="1" applyFont="1" applyFill="1" applyBorder="1" applyAlignment="1">
      <alignment horizontal="right" vertical="center"/>
    </xf>
    <xf numFmtId="0" fontId="7" fillId="6" borderId="2" xfId="0" applyFont="1" applyFill="1" applyBorder="1" applyAlignment="1">
      <alignment horizontal="left" vertical="center" wrapText="1"/>
    </xf>
    <xf numFmtId="0" fontId="26" fillId="8" borderId="2" xfId="0" applyFont="1" applyFill="1" applyBorder="1" applyAlignment="1">
      <alignment horizontal="center" vertical="center"/>
    </xf>
    <xf numFmtId="0" fontId="26" fillId="12" borderId="2" xfId="0" applyFont="1" applyFill="1" applyBorder="1" applyAlignment="1">
      <alignment horizontal="center" vertical="center"/>
    </xf>
    <xf numFmtId="0" fontId="26" fillId="15" borderId="2" xfId="0" applyFont="1" applyFill="1" applyBorder="1" applyAlignment="1">
      <alignment horizontal="center" vertical="center"/>
    </xf>
    <xf numFmtId="0" fontId="26" fillId="11" borderId="2" xfId="0" applyFont="1" applyFill="1" applyBorder="1" applyAlignment="1">
      <alignment horizontal="center" vertical="center"/>
    </xf>
    <xf numFmtId="0" fontId="26" fillId="3" borderId="2" xfId="0" applyFont="1" applyFill="1" applyBorder="1" applyAlignment="1">
      <alignment horizontal="center" vertical="center"/>
    </xf>
    <xf numFmtId="0" fontId="26" fillId="16" borderId="2" xfId="0" applyFont="1" applyFill="1" applyBorder="1" applyAlignment="1">
      <alignment horizontal="center" vertical="center"/>
    </xf>
    <xf numFmtId="164" fontId="27" fillId="18" borderId="2" xfId="0" applyNumberFormat="1" applyFont="1" applyFill="1" applyBorder="1" applyAlignment="1">
      <alignment horizontal="right" vertical="center"/>
    </xf>
    <xf numFmtId="167" fontId="24" fillId="6" borderId="2" xfId="0" applyNumberFormat="1" applyFont="1" applyFill="1" applyBorder="1" applyAlignment="1">
      <alignment horizontal="right" vertical="center"/>
    </xf>
    <xf numFmtId="165" fontId="27" fillId="18" borderId="2" xfId="0" applyNumberFormat="1" applyFont="1" applyFill="1" applyBorder="1" applyAlignment="1">
      <alignment horizontal="right" vertical="center"/>
    </xf>
    <xf numFmtId="165" fontId="24" fillId="6" borderId="2" xfId="0" applyNumberFormat="1" applyFont="1" applyFill="1" applyBorder="1" applyAlignment="1">
      <alignment horizontal="right" vertical="center"/>
    </xf>
    <xf numFmtId="166" fontId="27" fillId="18" borderId="2" xfId="0" applyNumberFormat="1" applyFont="1" applyFill="1" applyBorder="1" applyAlignment="1">
      <alignment horizontal="right" vertical="center"/>
    </xf>
    <xf numFmtId="166" fontId="24" fillId="6" borderId="2" xfId="0" applyNumberFormat="1" applyFont="1" applyFill="1" applyBorder="1" applyAlignment="1">
      <alignment horizontal="right" vertical="center"/>
    </xf>
    <xf numFmtId="164" fontId="24" fillId="6" borderId="2" xfId="0" applyNumberFormat="1" applyFont="1" applyFill="1" applyBorder="1" applyAlignment="1">
      <alignment horizontal="right" vertical="center"/>
    </xf>
    <xf numFmtId="164" fontId="5" fillId="6" borderId="2" xfId="0" applyNumberFormat="1" applyFont="1" applyFill="1" applyBorder="1" applyAlignment="1">
      <alignment horizontal="right" vertical="center"/>
    </xf>
    <xf numFmtId="165" fontId="5" fillId="6" borderId="2" xfId="0" applyNumberFormat="1" applyFont="1" applyFill="1" applyBorder="1" applyAlignment="1">
      <alignment horizontal="right" vertical="center"/>
    </xf>
    <xf numFmtId="0" fontId="3" fillId="12" borderId="2" xfId="0" applyFont="1" applyFill="1" applyBorder="1" applyAlignment="1">
      <alignment horizontal="left" vertical="center" wrapText="1"/>
    </xf>
    <xf numFmtId="0" fontId="3" fillId="15"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8" borderId="2" xfId="0" applyFont="1" applyFill="1" applyBorder="1" applyAlignment="1">
      <alignment horizontal="left" vertical="center"/>
    </xf>
    <xf numFmtId="0" fontId="0" fillId="8" borderId="2" xfId="0" applyFill="1" applyBorder="1"/>
    <xf numFmtId="164" fontId="27" fillId="7" borderId="2" xfId="0" applyNumberFormat="1" applyFont="1" applyFill="1" applyBorder="1" applyAlignment="1">
      <alignment horizontal="right" vertical="center"/>
    </xf>
    <xf numFmtId="165" fontId="25" fillId="6" borderId="2" xfId="0" applyNumberFormat="1" applyFont="1" applyFill="1" applyBorder="1" applyAlignment="1">
      <alignment horizontal="right" vertical="center"/>
    </xf>
    <xf numFmtId="165" fontId="27" fillId="7" borderId="2" xfId="0" applyNumberFormat="1" applyFont="1" applyFill="1" applyBorder="1" applyAlignment="1">
      <alignment horizontal="right" vertical="center"/>
    </xf>
    <xf numFmtId="0" fontId="3" fillId="16" borderId="2" xfId="0" applyFont="1" applyFill="1" applyBorder="1" applyAlignment="1">
      <alignment horizontal="left" vertical="center"/>
    </xf>
    <xf numFmtId="0" fontId="1" fillId="2" borderId="0" xfId="0" applyFont="1" applyFill="1" applyBorder="1" applyAlignment="1">
      <alignment horizontal="center" vertical="center"/>
    </xf>
    <xf numFmtId="0" fontId="2" fillId="3" borderId="1" xfId="0" applyFont="1" applyFill="1" applyBorder="1" applyAlignment="1">
      <alignment horizontal="center" vertical="center"/>
    </xf>
    <xf numFmtId="0" fontId="3" fillId="8" borderId="1" xfId="0" applyFont="1" applyFill="1" applyBorder="1" applyAlignment="1">
      <alignment horizontal="center" vertical="center"/>
    </xf>
    <xf numFmtId="0" fontId="13" fillId="5" borderId="1" xfId="0" applyFont="1" applyFill="1" applyBorder="1" applyAlignment="1">
      <alignment horizontal="left" vertical="top" wrapText="1"/>
    </xf>
    <xf numFmtId="0" fontId="2" fillId="16" borderId="1" xfId="0" applyFont="1" applyFill="1" applyBorder="1" applyAlignment="1">
      <alignment horizontal="center" vertical="center"/>
    </xf>
    <xf numFmtId="0" fontId="13" fillId="5" borderId="4" xfId="0" applyFont="1" applyFill="1" applyBorder="1" applyAlignment="1">
      <alignment horizontal="left" vertical="top" wrapText="1"/>
    </xf>
    <xf numFmtId="0" fontId="14" fillId="10" borderId="4" xfId="0" applyFont="1" applyFill="1" applyBorder="1" applyAlignment="1">
      <alignment horizontal="center" vertical="center" wrapText="1"/>
    </xf>
    <xf numFmtId="0" fontId="3" fillId="15" borderId="4" xfId="0" applyFont="1" applyFill="1" applyBorder="1" applyAlignment="1">
      <alignment horizontal="center" vertical="center"/>
    </xf>
    <xf numFmtId="0" fontId="3" fillId="13" borderId="4" xfId="0" applyFont="1" applyFill="1" applyBorder="1" applyAlignment="1">
      <alignment horizontal="center" vertical="center"/>
    </xf>
    <xf numFmtId="0" fontId="3" fillId="12" borderId="4" xfId="0" applyFont="1" applyFill="1" applyBorder="1" applyAlignment="1">
      <alignment horizontal="center" vertical="center"/>
    </xf>
    <xf numFmtId="0" fontId="3" fillId="11" borderId="4" xfId="0" applyFont="1" applyFill="1" applyBorder="1" applyAlignment="1">
      <alignment horizontal="center" vertical="center"/>
    </xf>
    <xf numFmtId="0" fontId="9" fillId="0" borderId="0" xfId="0" applyFont="1" applyBorder="1" applyAlignment="1">
      <alignment horizontal="center" vertical="center"/>
    </xf>
    <xf numFmtId="0" fontId="2" fillId="2" borderId="1" xfId="0" applyFont="1" applyFill="1" applyBorder="1" applyAlignment="1">
      <alignment horizontal="center" vertical="center"/>
    </xf>
    <xf numFmtId="0" fontId="10" fillId="6" borderId="1" xfId="0" applyFont="1" applyFill="1" applyBorder="1" applyAlignment="1">
      <alignment horizontal="left" vertical="center" wrapText="1"/>
    </xf>
    <xf numFmtId="0" fontId="20" fillId="2" borderId="0" xfId="0" applyFont="1" applyFill="1" applyBorder="1" applyAlignment="1">
      <alignment horizontal="center" vertical="center"/>
    </xf>
    <xf numFmtId="0" fontId="13" fillId="5" borderId="1" xfId="0" applyFont="1" applyFill="1" applyBorder="1" applyAlignment="1">
      <alignment horizontal="left" vertical="center" wrapText="1"/>
    </xf>
    <xf numFmtId="0" fontId="2" fillId="12" borderId="1" xfId="0" applyFont="1" applyFill="1" applyBorder="1" applyAlignment="1">
      <alignment horizontal="center" vertical="center"/>
    </xf>
    <xf numFmtId="0" fontId="2" fillId="8" borderId="1" xfId="0" applyFont="1" applyFill="1" applyBorder="1" applyAlignment="1">
      <alignment horizontal="center" vertical="center"/>
    </xf>
    <xf numFmtId="0" fontId="5" fillId="5"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30" fillId="7" borderId="1" xfId="0" applyFont="1" applyFill="1" applyBorder="1" applyAlignment="1">
      <alignment horizontal="left" vertical="top" wrapText="1"/>
    </xf>
    <xf numFmtId="0" fontId="29" fillId="4" borderId="1" xfId="0" applyFont="1" applyFill="1" applyBorder="1" applyAlignment="1">
      <alignment horizontal="left" vertical="center" wrapText="1"/>
    </xf>
    <xf numFmtId="0" fontId="29" fillId="5" borderId="1" xfId="0" applyFont="1" applyFill="1" applyBorder="1" applyAlignment="1">
      <alignment horizontal="left" vertical="center" wrapText="1"/>
    </xf>
    <xf numFmtId="0" fontId="28" fillId="5"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B6B1B"/>
      <rgbColor rgb="FF000080"/>
      <rgbColor rgb="FF8AA64F"/>
      <rgbColor rgb="FF800080"/>
      <rgbColor rgb="FF00838F"/>
      <rgbColor rgb="FFEDE7F6"/>
      <rgbColor rgb="FF878787"/>
      <rgbColor rgb="FF93A9CE"/>
      <rgbColor rgb="FFAB4744"/>
      <rgbColor rgb="FFFFFDE7"/>
      <rgbColor rgb="FFE3F2FD"/>
      <rgbColor rgb="FF4527A0"/>
      <rgbColor rgb="FFDC853E"/>
      <rgbColor rgb="FF1565C0"/>
      <rgbColor rgb="FFD9D9D9"/>
      <rgbColor rgb="FF000080"/>
      <rgbColor rgb="FFFF00FF"/>
      <rgbColor rgb="FFFFFF00"/>
      <rgbColor rgb="FF00FFFF"/>
      <rgbColor rgb="FF800080"/>
      <rgbColor rgb="FF800000"/>
      <rgbColor rgb="FF006064"/>
      <rgbColor rgb="FF0000FF"/>
      <rgbColor rgb="FF00CCFF"/>
      <rgbColor rgb="FFE8F5E9"/>
      <rgbColor rgb="FFF5F5F5"/>
      <rgbColor rgb="FFFFF3E0"/>
      <rgbColor rgb="FFF9F9F9"/>
      <rgbColor rgb="FFFAFAFA"/>
      <rgbColor rgb="FFCC99FF"/>
      <rgbColor rgb="FFFFEBEE"/>
      <rgbColor rgb="FF4672A8"/>
      <rgbColor rgb="FF4F81BD"/>
      <rgbColor rgb="FF99CC00"/>
      <rgbColor rgb="FFFFCC00"/>
      <rgbColor rgb="FFFF9900"/>
      <rgbColor rgb="FFE65100"/>
      <rgbColor rgb="FF725990"/>
      <rgbColor rgb="FF90A4AE"/>
      <rgbColor rgb="FF2E7D32"/>
      <rgbColor rgb="FF4299B0"/>
      <rgbColor rgb="FF0D1B2A"/>
      <rgbColor rgb="FF455A64"/>
      <rgbColor rgb="FFB71C1C"/>
      <rgbColor rgb="FF993366"/>
      <rgbColor rgb="FF283593"/>
      <rgbColor rgb="FF37474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title>
      <c:tx>
        <c:rich>
          <a:bodyPr rot="0"/>
          <a:lstStyle/>
          <a:p>
            <a:pPr>
              <a:defRPr sz="1800" b="1" strike="noStrike" spc="-1">
                <a:solidFill>
                  <a:srgbClr val="000000"/>
                </a:solidFill>
                <a:latin typeface="Calibri"/>
              </a:defRPr>
            </a:pPr>
            <a:r>
              <a:rPr lang="en-IN" sz="1800" b="1" strike="noStrike" spc="-1">
                <a:solidFill>
                  <a:srgbClr val="000000"/>
                </a:solidFill>
                <a:latin typeface="Calibri"/>
              </a:rPr>
              <a:t>Monthly Revenue: Actual vs Budget (₹)</a:t>
            </a:r>
          </a:p>
        </c:rich>
      </c:tx>
      <c:layout/>
      <c:overlay val="0"/>
      <c:spPr>
        <a:noFill/>
        <a:ln w="0">
          <a:noFill/>
        </a:ln>
      </c:spPr>
    </c:title>
    <c:autoTitleDeleted val="0"/>
    <c:plotArea>
      <c:layout/>
      <c:barChart>
        <c:barDir val="col"/>
        <c:grouping val="clustered"/>
        <c:varyColors val="0"/>
        <c:ser>
          <c:idx val="0"/>
          <c:order val="0"/>
          <c:tx>
            <c:strRef>
              <c:f>'📈 KPI Dashboard'!$A$20</c:f>
              <c:strCache>
                <c:ptCount val="1"/>
                <c:pt idx="0">
                  <c:v>Act Revenue</c:v>
                </c:pt>
              </c:strCache>
            </c:strRef>
          </c:tx>
          <c:spPr>
            <a:solidFill>
              <a:srgbClr val="1565C0"/>
            </a:solidFill>
            <a:ln w="9360">
              <a:solidFill>
                <a:srgbClr val="F9F9F9"/>
              </a:solidFill>
              <a:round/>
            </a:ln>
          </c:spPr>
          <c:invertIfNegative val="0"/>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 KPI Dashboard'!$B$19:$D$19</c:f>
              <c:strCache>
                <c:ptCount val="3"/>
                <c:pt idx="0">
                  <c:v>January</c:v>
                </c:pt>
                <c:pt idx="1">
                  <c:v>February</c:v>
                </c:pt>
                <c:pt idx="2">
                  <c:v>March</c:v>
                </c:pt>
              </c:strCache>
            </c:strRef>
          </c:cat>
          <c:val>
            <c:numRef>
              <c:f>'📈 KPI Dashboard'!$B$20:$D$20</c:f>
              <c:numCache>
                <c:formatCode>\₹#,##0;"(₹"#,##0\);\-</c:formatCode>
                <c:ptCount val="3"/>
                <c:pt idx="0">
                  <c:v>179775</c:v>
                </c:pt>
                <c:pt idx="1">
                  <c:v>223229</c:v>
                </c:pt>
                <c:pt idx="2">
                  <c:v>267860</c:v>
                </c:pt>
              </c:numCache>
            </c:numRef>
          </c:val>
        </c:ser>
        <c:ser>
          <c:idx val="1"/>
          <c:order val="1"/>
          <c:tx>
            <c:strRef>
              <c:f>'📈 KPI Dashboard'!$A$21</c:f>
              <c:strCache>
                <c:ptCount val="1"/>
                <c:pt idx="0">
                  <c:v>Bud Revenue</c:v>
                </c:pt>
              </c:strCache>
            </c:strRef>
          </c:tx>
          <c:spPr>
            <a:solidFill>
              <a:srgbClr val="00838F"/>
            </a:solidFill>
            <a:ln w="9360">
              <a:solidFill>
                <a:srgbClr val="F9F9F9"/>
              </a:solidFill>
              <a:round/>
            </a:ln>
          </c:spPr>
          <c:invertIfNegative val="0"/>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 KPI Dashboard'!$B$19:$D$19</c:f>
              <c:strCache>
                <c:ptCount val="3"/>
                <c:pt idx="0">
                  <c:v>January</c:v>
                </c:pt>
                <c:pt idx="1">
                  <c:v>February</c:v>
                </c:pt>
                <c:pt idx="2">
                  <c:v>March</c:v>
                </c:pt>
              </c:strCache>
            </c:strRef>
          </c:cat>
          <c:val>
            <c:numRef>
              <c:f>'📈 KPI Dashboard'!$B$21:$D$21</c:f>
              <c:numCache>
                <c:formatCode>\₹#,##0;"(₹"#,##0\);\-</c:formatCode>
                <c:ptCount val="3"/>
                <c:pt idx="0">
                  <c:v>225699</c:v>
                </c:pt>
                <c:pt idx="1">
                  <c:v>278772</c:v>
                </c:pt>
                <c:pt idx="2">
                  <c:v>355500</c:v>
                </c:pt>
              </c:numCache>
            </c:numRef>
          </c:val>
        </c:ser>
        <c:dLbls>
          <c:showLegendKey val="0"/>
          <c:showVal val="0"/>
          <c:showCatName val="0"/>
          <c:showSerName val="0"/>
          <c:showPercent val="0"/>
          <c:showBubbleSize val="0"/>
        </c:dLbls>
        <c:gapWidth val="150"/>
        <c:axId val="309912672"/>
        <c:axId val="240596656"/>
      </c:barChart>
      <c:catAx>
        <c:axId val="309912672"/>
        <c:scaling>
          <c:orientation val="minMax"/>
        </c:scaling>
        <c:delete val="0"/>
        <c:axPos val="b"/>
        <c:title>
          <c:tx>
            <c:rich>
              <a:bodyPr rot="0"/>
              <a:lstStyle/>
              <a:p>
                <a:pPr>
                  <a:defRPr sz="1000" b="1" strike="noStrike" spc="-1">
                    <a:solidFill>
                      <a:srgbClr val="000000"/>
                    </a:solidFill>
                    <a:latin typeface="Calibri"/>
                  </a:defRPr>
                </a:pPr>
                <a:r>
                  <a:rPr lang="en-IN" sz="1000" b="1" strike="noStrike" spc="-1">
                    <a:solidFill>
                      <a:srgbClr val="000000"/>
                    </a:solidFill>
                    <a:latin typeface="Calibri"/>
                  </a:rPr>
                  <a:t>Month</a:t>
                </a:r>
              </a:p>
            </c:rich>
          </c:tx>
          <c:layout/>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240596656"/>
        <c:crosses val="autoZero"/>
        <c:auto val="1"/>
        <c:lblAlgn val="ctr"/>
        <c:lblOffset val="100"/>
        <c:noMultiLvlLbl val="0"/>
      </c:catAx>
      <c:valAx>
        <c:axId val="240596656"/>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IN" sz="1000" b="1" strike="noStrike" spc="-1">
                    <a:solidFill>
                      <a:srgbClr val="000000"/>
                    </a:solidFill>
                    <a:latin typeface="Calibri"/>
                  </a:rPr>
                  <a:t>Revenue (₹)</a:t>
                </a:r>
              </a:p>
            </c:rich>
          </c:tx>
          <c:layout/>
          <c:overlay val="0"/>
          <c:spPr>
            <a:noFill/>
            <a:ln w="0">
              <a:noFill/>
            </a:ln>
          </c:spPr>
        </c:title>
        <c:numFmt formatCode="\₹#,##0;&quot;(₹&quot;#,##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09912672"/>
        <c:crosses val="autoZero"/>
        <c:crossBetween val="between"/>
      </c:valAx>
      <c:spPr>
        <a:noFill/>
        <a:ln w="0">
          <a:noFill/>
        </a:ln>
      </c:spPr>
    </c:plotArea>
    <c:legend>
      <c:legendPos val="r"/>
      <c:layout/>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title>
      <c:tx>
        <c:rich>
          <a:bodyPr rot="0"/>
          <a:lstStyle/>
          <a:p>
            <a:pPr>
              <a:defRPr sz="1800" b="1" strike="noStrike" spc="-1">
                <a:solidFill>
                  <a:srgbClr val="000000"/>
                </a:solidFill>
                <a:latin typeface="Calibri"/>
              </a:defRPr>
            </a:pPr>
            <a:r>
              <a:rPr lang="en-IN" sz="1800" b="1" strike="noStrike" spc="-1">
                <a:solidFill>
                  <a:srgbClr val="000000"/>
                </a:solidFill>
                <a:latin typeface="Calibri"/>
              </a:rPr>
              <a:t>EBITDA Trend: Actual vs Budget (₹)</a:t>
            </a:r>
          </a:p>
        </c:rich>
      </c:tx>
      <c:layout/>
      <c:overlay val="0"/>
      <c:spPr>
        <a:noFill/>
        <a:ln w="0">
          <a:noFill/>
        </a:ln>
      </c:spPr>
    </c:title>
    <c:autoTitleDeleted val="0"/>
    <c:plotArea>
      <c:layout/>
      <c:lineChart>
        <c:grouping val="standard"/>
        <c:varyColors val="0"/>
        <c:ser>
          <c:idx val="0"/>
          <c:order val="0"/>
          <c:tx>
            <c:strRef>
              <c:f>'📈 KPI Dashboard'!$A$22</c:f>
              <c:strCache>
                <c:ptCount val="1"/>
                <c:pt idx="0">
                  <c:v>Act EBITDA</c:v>
                </c:pt>
              </c:strCache>
            </c:strRef>
          </c:tx>
          <c:spPr>
            <a:ln w="24840">
              <a:solidFill>
                <a:srgbClr val="1565C0"/>
              </a:solidFill>
              <a:round/>
            </a:ln>
          </c:spPr>
          <c:marker>
            <c:symbol val="circle"/>
            <c:size val="7"/>
            <c:spPr>
              <a:solidFill>
                <a:srgbClr val="1565C0"/>
              </a:solidFill>
            </c:spPr>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 KPI Dashboard'!$B$19:$D$19</c:f>
              <c:strCache>
                <c:ptCount val="3"/>
                <c:pt idx="0">
                  <c:v>January</c:v>
                </c:pt>
                <c:pt idx="1">
                  <c:v>February</c:v>
                </c:pt>
                <c:pt idx="2">
                  <c:v>March</c:v>
                </c:pt>
              </c:strCache>
            </c:strRef>
          </c:cat>
          <c:val>
            <c:numRef>
              <c:f>'📈 KPI Dashboard'!$B$22:$D$22</c:f>
              <c:numCache>
                <c:formatCode>\₹#,##0;"(₹"#,##0\);\-</c:formatCode>
                <c:ptCount val="3"/>
                <c:pt idx="0">
                  <c:v>-561265</c:v>
                </c:pt>
                <c:pt idx="1">
                  <c:v>-549671</c:v>
                </c:pt>
                <c:pt idx="2">
                  <c:v>-580040</c:v>
                </c:pt>
              </c:numCache>
            </c:numRef>
          </c:val>
          <c:smooth val="1"/>
        </c:ser>
        <c:ser>
          <c:idx val="1"/>
          <c:order val="1"/>
          <c:tx>
            <c:strRef>
              <c:f>'📈 KPI Dashboard'!$A$23</c:f>
              <c:strCache>
                <c:ptCount val="1"/>
                <c:pt idx="0">
                  <c:v>Bud EBITDA</c:v>
                </c:pt>
              </c:strCache>
            </c:strRef>
          </c:tx>
          <c:spPr>
            <a:ln w="20160">
              <a:solidFill>
                <a:srgbClr val="E65100"/>
              </a:solidFill>
              <a:round/>
            </a:ln>
          </c:spPr>
          <c:marker>
            <c:symbol val="diamond"/>
            <c:size val="6"/>
            <c:spPr>
              <a:solidFill>
                <a:srgbClr val="E65100"/>
              </a:solidFill>
            </c:spPr>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 KPI Dashboard'!$B$19:$D$19</c:f>
              <c:strCache>
                <c:ptCount val="3"/>
                <c:pt idx="0">
                  <c:v>January</c:v>
                </c:pt>
                <c:pt idx="1">
                  <c:v>February</c:v>
                </c:pt>
                <c:pt idx="2">
                  <c:v>March</c:v>
                </c:pt>
              </c:strCache>
            </c:strRef>
          </c:cat>
          <c:val>
            <c:numRef>
              <c:f>'📈 KPI Dashboard'!$B$23:$D$23</c:f>
              <c:numCache>
                <c:formatCode>\₹#,##0;"(₹"#,##0\);\-</c:formatCode>
                <c:ptCount val="3"/>
                <c:pt idx="0">
                  <c:v>-539681</c:v>
                </c:pt>
                <c:pt idx="1">
                  <c:v>-517008</c:v>
                </c:pt>
                <c:pt idx="2">
                  <c:v>-493940</c:v>
                </c:pt>
              </c:numCache>
            </c:numRef>
          </c:val>
          <c:smooth val="1"/>
        </c:ser>
        <c:dLbls>
          <c:showLegendKey val="0"/>
          <c:showVal val="0"/>
          <c:showCatName val="0"/>
          <c:showSerName val="0"/>
          <c:showPercent val="0"/>
          <c:showBubbleSize val="0"/>
        </c:dLbls>
        <c:hiLowLines>
          <c:spPr>
            <a:ln w="0">
              <a:noFill/>
            </a:ln>
          </c:spPr>
        </c:hiLowLines>
        <c:marker val="1"/>
        <c:smooth val="0"/>
        <c:axId val="238912616"/>
        <c:axId val="312372672"/>
      </c:lineChart>
      <c:catAx>
        <c:axId val="238912616"/>
        <c:scaling>
          <c:orientation val="minMax"/>
        </c:scaling>
        <c:delete val="0"/>
        <c:axPos val="b"/>
        <c:title>
          <c:tx>
            <c:rich>
              <a:bodyPr rot="0"/>
              <a:lstStyle/>
              <a:p>
                <a:pPr>
                  <a:defRPr sz="1000" b="1" strike="noStrike" spc="-1">
                    <a:solidFill>
                      <a:srgbClr val="000000"/>
                    </a:solidFill>
                    <a:latin typeface="Calibri"/>
                  </a:defRPr>
                </a:pPr>
                <a:r>
                  <a:rPr lang="en-IN" sz="1000" b="1" strike="noStrike" spc="-1">
                    <a:solidFill>
                      <a:srgbClr val="000000"/>
                    </a:solidFill>
                    <a:latin typeface="Calibri"/>
                  </a:rPr>
                  <a:t>Month</a:t>
                </a:r>
              </a:p>
            </c:rich>
          </c:tx>
          <c:layout/>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12372672"/>
        <c:crosses val="autoZero"/>
        <c:auto val="1"/>
        <c:lblAlgn val="ctr"/>
        <c:lblOffset val="100"/>
        <c:noMultiLvlLbl val="0"/>
      </c:catAx>
      <c:valAx>
        <c:axId val="312372672"/>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IN" sz="1000" b="1" strike="noStrike" spc="-1">
                    <a:solidFill>
                      <a:srgbClr val="000000"/>
                    </a:solidFill>
                    <a:latin typeface="Calibri"/>
                  </a:rPr>
                  <a:t>EBITDA (₹)</a:t>
                </a:r>
              </a:p>
            </c:rich>
          </c:tx>
          <c:layout/>
          <c:overlay val="0"/>
          <c:spPr>
            <a:noFill/>
            <a:ln w="0">
              <a:noFill/>
            </a:ln>
          </c:spPr>
        </c:title>
        <c:numFmt formatCode="\₹#,##0;&quot;(₹&quot;#,##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238912616"/>
        <c:crosses val="autoZero"/>
        <c:crossBetween val="between"/>
      </c:valAx>
      <c:spPr>
        <a:noFill/>
        <a:ln w="0">
          <a:noFill/>
        </a:ln>
      </c:spPr>
    </c:plotArea>
    <c:legend>
      <c:legendPos val="r"/>
      <c:layout/>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title>
      <c:tx>
        <c:rich>
          <a:bodyPr rot="0"/>
          <a:lstStyle/>
          <a:p>
            <a:pPr>
              <a:defRPr sz="1800" b="1" strike="noStrike" spc="-1">
                <a:solidFill>
                  <a:srgbClr val="000000"/>
                </a:solidFill>
                <a:latin typeface="Calibri"/>
              </a:defRPr>
            </a:pPr>
            <a:r>
              <a:rPr lang="en-IN" sz="1800" b="1" strike="noStrike" spc="-1">
                <a:solidFill>
                  <a:srgbClr val="000000"/>
                </a:solidFill>
                <a:latin typeface="Calibri"/>
              </a:rPr>
              <a:t>Q1 Cost Breakdown — Actuals</a:t>
            </a:r>
          </a:p>
        </c:rich>
      </c:tx>
      <c:layout/>
      <c:overlay val="0"/>
      <c:spPr>
        <a:noFill/>
        <a:ln w="0">
          <a:noFill/>
        </a:ln>
      </c:spPr>
    </c:title>
    <c:autoTitleDeleted val="0"/>
    <c:plotArea>
      <c:layout/>
      <c:pieChart>
        <c:varyColors val="1"/>
        <c:ser>
          <c:idx val="0"/>
          <c:order val="0"/>
          <c:tx>
            <c:strRef>
              <c:f>'📈 KPI Dashboard'!$B$27</c:f>
              <c:strCache>
                <c:ptCount val="1"/>
                <c:pt idx="0">
                  <c:v>Q1 Amount (₹)</c:v>
                </c:pt>
              </c:strCache>
            </c:strRef>
          </c:tx>
          <c:spPr>
            <a:solidFill>
              <a:srgbClr val="4F81BD"/>
            </a:solidFill>
            <a:ln w="9360">
              <a:solidFill>
                <a:srgbClr val="F9F9F9"/>
              </a:solidFill>
              <a:round/>
            </a:ln>
          </c:spPr>
          <c:dPt>
            <c:idx val="0"/>
            <c:bubble3D val="0"/>
            <c:spPr>
              <a:solidFill>
                <a:srgbClr val="4672A8"/>
              </a:solidFill>
              <a:ln w="9360">
                <a:solidFill>
                  <a:srgbClr val="F9F9F9"/>
                </a:solidFill>
                <a:round/>
              </a:ln>
            </c:spPr>
          </c:dPt>
          <c:dPt>
            <c:idx val="1"/>
            <c:bubble3D val="0"/>
            <c:spPr>
              <a:solidFill>
                <a:srgbClr val="AB4744"/>
              </a:solidFill>
              <a:ln w="9360">
                <a:solidFill>
                  <a:srgbClr val="F9F9F9"/>
                </a:solidFill>
                <a:round/>
              </a:ln>
            </c:spPr>
          </c:dPt>
          <c:dPt>
            <c:idx val="2"/>
            <c:bubble3D val="0"/>
            <c:spPr>
              <a:solidFill>
                <a:srgbClr val="8AA64F"/>
              </a:solidFill>
              <a:ln w="9360">
                <a:solidFill>
                  <a:srgbClr val="F9F9F9"/>
                </a:solidFill>
                <a:round/>
              </a:ln>
            </c:spPr>
          </c:dPt>
          <c:dPt>
            <c:idx val="3"/>
            <c:bubble3D val="0"/>
            <c:spPr>
              <a:solidFill>
                <a:srgbClr val="725990"/>
              </a:solidFill>
              <a:ln w="9360">
                <a:solidFill>
                  <a:srgbClr val="F9F9F9"/>
                </a:solidFill>
                <a:round/>
              </a:ln>
            </c:spPr>
          </c:dPt>
          <c:dPt>
            <c:idx val="4"/>
            <c:bubble3D val="0"/>
            <c:spPr>
              <a:solidFill>
                <a:srgbClr val="4299B0"/>
              </a:solidFill>
              <a:ln w="9360">
                <a:solidFill>
                  <a:srgbClr val="F9F9F9"/>
                </a:solidFill>
                <a:round/>
              </a:ln>
            </c:spPr>
          </c:dPt>
          <c:dPt>
            <c:idx val="5"/>
            <c:bubble3D val="0"/>
            <c:spPr>
              <a:solidFill>
                <a:srgbClr val="DC853E"/>
              </a:solidFill>
              <a:ln w="9360">
                <a:solidFill>
                  <a:srgbClr val="F9F9F9"/>
                </a:solidFill>
                <a:round/>
              </a:ln>
            </c:spPr>
          </c:dPt>
          <c:dPt>
            <c:idx val="6"/>
            <c:bubble3D val="0"/>
            <c:spPr>
              <a:solidFill>
                <a:srgbClr val="93A9CE"/>
              </a:solidFill>
              <a:ln w="9360">
                <a:solidFill>
                  <a:srgbClr val="F9F9F9"/>
                </a:solidFill>
                <a:round/>
              </a:ln>
            </c:spPr>
          </c:dPt>
          <c:dLbls>
            <c:dLbl>
              <c:idx val="0"/>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1"/>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2"/>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3"/>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4"/>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5"/>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dLbl>
              <c:idx val="6"/>
              <c:spPr/>
              <c:txPr>
                <a:bodyPr wrap="none"/>
                <a:lstStyle/>
                <a:p>
                  <a:pPr>
                    <a:defRPr sz="1000" b="0" strike="noStrike" spc="-1">
                      <a:latin typeface="Arial"/>
                    </a:defRPr>
                  </a:pPr>
                  <a:endParaRPr lang="en-US"/>
                </a:p>
              </c:txPr>
              <c:showLegendKey val="0"/>
              <c:showVal val="0"/>
              <c:showCatName val="0"/>
              <c:showSerName val="0"/>
              <c:showPercent val="0"/>
              <c:showBubbleSize val="1"/>
              <c:extLst>
                <c:ext xmlns:c15="http://schemas.microsoft.com/office/drawing/2012/chart" uri="{CE6537A1-D6FC-4f65-9D91-7224C49458BB}"/>
              </c:extLst>
            </c:dLbl>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1"/>
            <c:extLst>
              <c:ext xmlns:c15="http://schemas.microsoft.com/office/drawing/2012/chart" uri="{CE6537A1-D6FC-4f65-9D91-7224C49458BB}"/>
            </c:extLst>
          </c:dLbls>
          <c:cat>
            <c:strRef>
              <c:f>'📈 KPI Dashboard'!$A$28:$A$34</c:f>
              <c:strCache>
                <c:ptCount val="7"/>
                <c:pt idx="0">
                  <c:v>Driver Incentives</c:v>
                </c:pt>
                <c:pt idx="1">
                  <c:v>Salaries (all)</c:v>
                </c:pt>
                <c:pt idx="2">
                  <c:v>Marketing</c:v>
                </c:pt>
                <c:pt idx="3">
                  <c:v>Gateway + Referrals</c:v>
                </c:pt>
                <c:pt idx="4">
                  <c:v>Cloud + Office</c:v>
                </c:pt>
                <c:pt idx="5">
                  <c:v>Support + Legal</c:v>
                </c:pt>
                <c:pt idx="6">
                  <c:v>D&amp;A + Interest</c:v>
                </c:pt>
              </c:strCache>
            </c:strRef>
          </c:cat>
          <c:val>
            <c:numRef>
              <c:f>'📈 KPI Dashboard'!$B$28:$B$34</c:f>
              <c:numCache>
                <c:formatCode>\₹#,##0;"(₹"#,##0\);\-</c:formatCode>
                <c:ptCount val="7"/>
                <c:pt idx="0">
                  <c:v>750960</c:v>
                </c:pt>
                <c:pt idx="1">
                  <c:v>795000</c:v>
                </c:pt>
                <c:pt idx="2">
                  <c:v>330000</c:v>
                </c:pt>
                <c:pt idx="3">
                  <c:v>149880</c:v>
                </c:pt>
                <c:pt idx="4">
                  <c:v>190000</c:v>
                </c:pt>
                <c:pt idx="5">
                  <c:v>146000</c:v>
                </c:pt>
                <c:pt idx="6">
                  <c:v>48000</c:v>
                </c:pt>
              </c:numCache>
            </c:numRef>
          </c:val>
        </c:ser>
        <c:dLbls>
          <c:showLegendKey val="0"/>
          <c:showVal val="0"/>
          <c:showCatName val="0"/>
          <c:showSerName val="0"/>
          <c:showPercent val="0"/>
          <c:showBubbleSize val="0"/>
          <c:showLeaderLines val="1"/>
        </c:dLbls>
        <c:firstSliceAng val="0"/>
      </c:pieChart>
      <c:spPr>
        <a:noFill/>
        <a:ln w="0">
          <a:noFill/>
        </a:ln>
      </c:spPr>
    </c:plotArea>
    <c:legend>
      <c:legendPos val="r"/>
      <c:layout/>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c:style val="2"/>
  <c:chart>
    <c:title>
      <c:tx>
        <c:rich>
          <a:bodyPr rot="0"/>
          <a:lstStyle/>
          <a:p>
            <a:pPr>
              <a:defRPr sz="1800" b="1" strike="noStrike" spc="-1">
                <a:solidFill>
                  <a:srgbClr val="000000"/>
                </a:solidFill>
                <a:latin typeface="Calibri"/>
              </a:defRPr>
            </a:pPr>
            <a:r>
              <a:rPr lang="en-IN" sz="1800" b="1" strike="noStrike" spc="-1">
                <a:solidFill>
                  <a:srgbClr val="000000"/>
                </a:solidFill>
                <a:latin typeface="Calibri"/>
              </a:rPr>
              <a:t>Net Profit: Actual vs Budget Monthly</a:t>
            </a:r>
          </a:p>
        </c:rich>
      </c:tx>
      <c:layout/>
      <c:overlay val="0"/>
      <c:spPr>
        <a:noFill/>
        <a:ln w="0">
          <a:noFill/>
        </a:ln>
      </c:spPr>
    </c:title>
    <c:autoTitleDeleted val="0"/>
    <c:plotArea>
      <c:layout/>
      <c:barChart>
        <c:barDir val="bar"/>
        <c:grouping val="clustered"/>
        <c:varyColors val="0"/>
        <c:ser>
          <c:idx val="0"/>
          <c:order val="0"/>
          <c:tx>
            <c:strRef>
              <c:f>'📈 KPI Dashboard'!$A$24</c:f>
              <c:strCache>
                <c:ptCount val="1"/>
                <c:pt idx="0">
                  <c:v>Act NetProfit</c:v>
                </c:pt>
              </c:strCache>
            </c:strRef>
          </c:tx>
          <c:spPr>
            <a:solidFill>
              <a:srgbClr val="B71C1C"/>
            </a:solidFill>
            <a:ln w="9360">
              <a:solidFill>
                <a:srgbClr val="F9F9F9"/>
              </a:solidFill>
              <a:round/>
            </a:ln>
          </c:spPr>
          <c:invertIfNegative val="0"/>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 KPI Dashboard'!$B$19:$D$19</c:f>
              <c:strCache>
                <c:ptCount val="3"/>
                <c:pt idx="0">
                  <c:v>January</c:v>
                </c:pt>
                <c:pt idx="1">
                  <c:v>February</c:v>
                </c:pt>
                <c:pt idx="2">
                  <c:v>March</c:v>
                </c:pt>
              </c:strCache>
            </c:strRef>
          </c:cat>
          <c:val>
            <c:numRef>
              <c:f>'📈 KPI Dashboard'!$B$24:$D$24</c:f>
              <c:numCache>
                <c:formatCode>\₹#,##0;"(₹"#,##0\);\-</c:formatCode>
                <c:ptCount val="3"/>
                <c:pt idx="0">
                  <c:v>-577265</c:v>
                </c:pt>
                <c:pt idx="1">
                  <c:v>-565671</c:v>
                </c:pt>
                <c:pt idx="2">
                  <c:v>-596040</c:v>
                </c:pt>
              </c:numCache>
            </c:numRef>
          </c:val>
        </c:ser>
        <c:ser>
          <c:idx val="1"/>
          <c:order val="1"/>
          <c:tx>
            <c:strRef>
              <c:f>'📈 KPI Dashboard'!$A$25</c:f>
              <c:strCache>
                <c:ptCount val="1"/>
                <c:pt idx="0">
                  <c:v>Bud NetProfit</c:v>
                </c:pt>
              </c:strCache>
            </c:strRef>
          </c:tx>
          <c:spPr>
            <a:solidFill>
              <a:srgbClr val="E65100"/>
            </a:solidFill>
            <a:ln w="9360">
              <a:solidFill>
                <a:srgbClr val="F9F9F9"/>
              </a:solidFill>
              <a:round/>
            </a:ln>
          </c:spPr>
          <c:invertIfNegative val="0"/>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 KPI Dashboard'!$B$19:$D$19</c:f>
              <c:strCache>
                <c:ptCount val="3"/>
                <c:pt idx="0">
                  <c:v>January</c:v>
                </c:pt>
                <c:pt idx="1">
                  <c:v>February</c:v>
                </c:pt>
                <c:pt idx="2">
                  <c:v>March</c:v>
                </c:pt>
              </c:strCache>
            </c:strRef>
          </c:cat>
          <c:val>
            <c:numRef>
              <c:f>'📈 KPI Dashboard'!$B$25:$D$25</c:f>
              <c:numCache>
                <c:formatCode>\₹#,##0;"(₹"#,##0\);\-</c:formatCode>
                <c:ptCount val="3"/>
                <c:pt idx="0">
                  <c:v>-555681</c:v>
                </c:pt>
                <c:pt idx="1">
                  <c:v>-533008</c:v>
                </c:pt>
                <c:pt idx="2">
                  <c:v>-509940</c:v>
                </c:pt>
              </c:numCache>
            </c:numRef>
          </c:val>
        </c:ser>
        <c:dLbls>
          <c:showLegendKey val="0"/>
          <c:showVal val="0"/>
          <c:showCatName val="0"/>
          <c:showSerName val="0"/>
          <c:showPercent val="0"/>
          <c:showBubbleSize val="0"/>
        </c:dLbls>
        <c:gapWidth val="150"/>
        <c:axId val="312464904"/>
        <c:axId val="312465288"/>
      </c:barChart>
      <c:catAx>
        <c:axId val="312464904"/>
        <c:scaling>
          <c:orientation val="minMax"/>
        </c:scaling>
        <c:delete val="0"/>
        <c:axPos val="l"/>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12465288"/>
        <c:crosses val="autoZero"/>
        <c:auto val="1"/>
        <c:lblAlgn val="ctr"/>
        <c:lblOffset val="100"/>
        <c:noMultiLvlLbl val="0"/>
      </c:catAx>
      <c:valAx>
        <c:axId val="312465288"/>
        <c:scaling>
          <c:orientation val="minMax"/>
        </c:scaling>
        <c:delete val="0"/>
        <c:axPos val="b"/>
        <c:majorGridlines>
          <c:spPr>
            <a:ln w="9360">
              <a:solidFill>
                <a:srgbClr val="878787"/>
              </a:solidFill>
              <a:round/>
            </a:ln>
          </c:spPr>
        </c:majorGridlines>
        <c:numFmt formatCode="\₹#,##0;&quot;(₹&quot;#,##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12464904"/>
        <c:crosses val="autoZero"/>
        <c:crossBetween val="between"/>
      </c:valAx>
      <c:spPr>
        <a:noFill/>
        <a:ln w="0">
          <a:noFill/>
        </a:ln>
      </c:spPr>
    </c:plotArea>
    <c:legend>
      <c:legendPos val="r"/>
      <c:layout/>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6</xdr:col>
      <xdr:colOff>120960</xdr:colOff>
      <xdr:row>56</xdr:row>
      <xdr:rowOff>149760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333374</xdr:colOff>
      <xdr:row>36</xdr:row>
      <xdr:rowOff>19050</xdr:rowOff>
    </xdr:from>
    <xdr:to>
      <xdr:col>18</xdr:col>
      <xdr:colOff>114299</xdr:colOff>
      <xdr:row>56</xdr:row>
      <xdr:rowOff>168810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58</xdr:row>
      <xdr:rowOff>0</xdr:rowOff>
    </xdr:from>
    <xdr:to>
      <xdr:col>6</xdr:col>
      <xdr:colOff>120960</xdr:colOff>
      <xdr:row>78</xdr:row>
      <xdr:rowOff>149400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323849</xdr:colOff>
      <xdr:row>57</xdr:row>
      <xdr:rowOff>180975</xdr:rowOff>
    </xdr:from>
    <xdr:to>
      <xdr:col>18</xdr:col>
      <xdr:colOff>142874</xdr:colOff>
      <xdr:row>78</xdr:row>
      <xdr:rowOff>139875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zoomScale="115" zoomScaleNormal="115" workbookViewId="0">
      <selection activeCell="K36" sqref="K36"/>
    </sheetView>
  </sheetViews>
  <sheetFormatPr defaultColWidth="8.7109375" defaultRowHeight="15" x14ac:dyDescent="0.25"/>
  <cols>
    <col min="1" max="1" width="22" customWidth="1"/>
    <col min="2" max="5" width="14" customWidth="1"/>
    <col min="6" max="6" width="2" customWidth="1"/>
    <col min="7" max="10" width="14" customWidth="1"/>
  </cols>
  <sheetData>
    <row r="1" spans="1:10" ht="36" customHeight="1" x14ac:dyDescent="0.25">
      <c r="A1" s="102" t="s">
        <v>289</v>
      </c>
      <c r="B1" s="102"/>
      <c r="C1" s="102"/>
      <c r="D1" s="102"/>
      <c r="E1" s="102"/>
      <c r="F1" s="102"/>
      <c r="G1" s="102"/>
      <c r="H1" s="102"/>
      <c r="I1" s="102"/>
      <c r="J1" s="102"/>
    </row>
    <row r="2" spans="1:10" ht="19.5" customHeight="1" x14ac:dyDescent="0.25">
      <c r="A2" s="103" t="s">
        <v>288</v>
      </c>
      <c r="B2" s="103"/>
      <c r="C2" s="103"/>
      <c r="D2" s="103"/>
      <c r="E2" s="103"/>
      <c r="F2" s="103"/>
      <c r="G2" s="103"/>
      <c r="H2" s="103"/>
      <c r="I2" s="103"/>
      <c r="J2" s="103"/>
    </row>
    <row r="3" spans="1:10" x14ac:dyDescent="0.25">
      <c r="A3" s="1" t="s">
        <v>0</v>
      </c>
      <c r="B3" s="1" t="s">
        <v>1</v>
      </c>
      <c r="C3" s="1" t="s">
        <v>2</v>
      </c>
      <c r="D3" s="1" t="s">
        <v>3</v>
      </c>
      <c r="E3" s="1" t="s">
        <v>4</v>
      </c>
      <c r="F3" s="2"/>
      <c r="G3" s="1" t="s">
        <v>5</v>
      </c>
      <c r="H3" s="1" t="s">
        <v>6</v>
      </c>
      <c r="I3" s="1" t="s">
        <v>7</v>
      </c>
      <c r="J3" s="1" t="s">
        <v>8</v>
      </c>
    </row>
    <row r="4" spans="1:10" ht="15" customHeight="1" x14ac:dyDescent="0.25">
      <c r="A4" s="3" t="s">
        <v>9</v>
      </c>
      <c r="B4" s="4">
        <v>4680</v>
      </c>
      <c r="C4" s="4">
        <v>4800</v>
      </c>
      <c r="D4" s="4">
        <v>5980</v>
      </c>
      <c r="E4" s="5">
        <f>SUM(B4:D4)</f>
        <v>15460</v>
      </c>
      <c r="F4" s="6"/>
      <c r="G4" s="7">
        <v>5460</v>
      </c>
      <c r="H4" s="7">
        <v>5760</v>
      </c>
      <c r="I4" s="7">
        <v>7020</v>
      </c>
      <c r="J4" s="8">
        <f>SUM(G4:I4)</f>
        <v>18240</v>
      </c>
    </row>
    <row r="5" spans="1:10" ht="15" customHeight="1" x14ac:dyDescent="0.25">
      <c r="A5" s="3" t="s">
        <v>10</v>
      </c>
      <c r="B5" s="9">
        <v>179775</v>
      </c>
      <c r="C5" s="9">
        <v>223229</v>
      </c>
      <c r="D5" s="9">
        <v>267860</v>
      </c>
      <c r="E5" s="10">
        <f>SUM(B5:D5)</f>
        <v>670864</v>
      </c>
      <c r="F5" s="6"/>
      <c r="G5" s="11">
        <v>225699</v>
      </c>
      <c r="H5" s="11">
        <v>278772</v>
      </c>
      <c r="I5" s="11">
        <v>355500</v>
      </c>
      <c r="J5" s="12">
        <f>SUM(G5:I5)</f>
        <v>859971</v>
      </c>
    </row>
    <row r="6" spans="1:10" ht="15" customHeight="1" x14ac:dyDescent="0.25">
      <c r="A6" s="3" t="s">
        <v>11</v>
      </c>
      <c r="B6" s="9">
        <v>-98265</v>
      </c>
      <c r="C6" s="9">
        <v>-68671</v>
      </c>
      <c r="D6" s="9">
        <v>-63040</v>
      </c>
      <c r="E6" s="10">
        <f>SUM(B6:D6)</f>
        <v>-229976</v>
      </c>
      <c r="F6" s="6"/>
      <c r="G6" s="11">
        <v>-98681</v>
      </c>
      <c r="H6" s="11">
        <v>-69008</v>
      </c>
      <c r="I6" s="11">
        <v>-37940</v>
      </c>
      <c r="J6" s="12">
        <f>SUM(G6:I6)</f>
        <v>-205629</v>
      </c>
    </row>
    <row r="7" spans="1:10" ht="15" customHeight="1" x14ac:dyDescent="0.25">
      <c r="A7" s="3" t="s">
        <v>12</v>
      </c>
      <c r="B7" s="13">
        <v>-0.54659991656236995</v>
      </c>
      <c r="C7" s="13">
        <v>-0.30762580130717798</v>
      </c>
      <c r="D7" s="13">
        <v>-0.23534682296722201</v>
      </c>
      <c r="E7" s="14">
        <f>AVERAGE(B7:D7)</f>
        <v>-0.36319084694559001</v>
      </c>
      <c r="F7" s="6"/>
      <c r="G7" s="15">
        <v>-0.43722391326501198</v>
      </c>
      <c r="H7" s="15">
        <v>-0.247542794828749</v>
      </c>
      <c r="I7" s="15">
        <v>-0.106722925457103</v>
      </c>
      <c r="J7" s="16">
        <f>AVERAGE(G7:I7)</f>
        <v>-0.263829877850288</v>
      </c>
    </row>
    <row r="8" spans="1:10" ht="15" customHeight="1" x14ac:dyDescent="0.25">
      <c r="A8" s="17" t="s">
        <v>13</v>
      </c>
      <c r="B8" s="18">
        <v>-561265</v>
      </c>
      <c r="C8" s="18">
        <v>-549671</v>
      </c>
      <c r="D8" s="18">
        <v>-580040</v>
      </c>
      <c r="E8" s="18">
        <f>SUM(B8:D8)</f>
        <v>-1690976</v>
      </c>
      <c r="F8" s="6"/>
      <c r="G8" s="19">
        <v>-539681</v>
      </c>
      <c r="H8" s="19">
        <v>-517008</v>
      </c>
      <c r="I8" s="19">
        <v>-493940</v>
      </c>
      <c r="J8" s="20">
        <f>SUM(G8:I8)</f>
        <v>-1550629</v>
      </c>
    </row>
    <row r="9" spans="1:10" ht="15" customHeight="1" x14ac:dyDescent="0.25">
      <c r="A9" s="17" t="s">
        <v>14</v>
      </c>
      <c r="B9" s="21">
        <v>-3.1220414406897499</v>
      </c>
      <c r="C9" s="21">
        <v>-2.4623637609808799</v>
      </c>
      <c r="D9" s="21">
        <v>-2.1654595684312699</v>
      </c>
      <c r="E9" s="21">
        <f>AVERAGE(B9:D9)</f>
        <v>-2.5832882567006332</v>
      </c>
      <c r="F9" s="6"/>
      <c r="G9" s="22">
        <v>-2.3911537047129099</v>
      </c>
      <c r="H9" s="22">
        <v>-1.85459084843528</v>
      </c>
      <c r="I9" s="22">
        <v>-1.38942334739803</v>
      </c>
      <c r="J9" s="23">
        <f>AVERAGE(G9:I9)</f>
        <v>-1.8783893001820733</v>
      </c>
    </row>
    <row r="10" spans="1:10" ht="15" customHeight="1" x14ac:dyDescent="0.25">
      <c r="A10" s="3" t="s">
        <v>15</v>
      </c>
      <c r="B10" s="9">
        <v>-577265</v>
      </c>
      <c r="C10" s="9">
        <v>-565671</v>
      </c>
      <c r="D10" s="9">
        <v>-596040</v>
      </c>
      <c r="E10" s="10">
        <f>SUM(B10:D10)</f>
        <v>-1738976</v>
      </c>
      <c r="F10" s="6"/>
      <c r="G10" s="11">
        <v>-555681</v>
      </c>
      <c r="H10" s="11">
        <v>-533008</v>
      </c>
      <c r="I10" s="11">
        <v>-509940</v>
      </c>
      <c r="J10" s="12">
        <f>SUM(G10:I10)</f>
        <v>-1598629</v>
      </c>
    </row>
    <row r="11" spans="1:10" ht="15" customHeight="1" x14ac:dyDescent="0.25">
      <c r="A11" s="3" t="s">
        <v>16</v>
      </c>
      <c r="B11" s="9">
        <v>38.4</v>
      </c>
      <c r="C11" s="9">
        <v>46.5</v>
      </c>
      <c r="D11" s="9">
        <v>44.8</v>
      </c>
      <c r="E11" s="10">
        <f>SUM(B11:D11)</f>
        <v>129.69999999999999</v>
      </c>
      <c r="F11" s="6"/>
      <c r="G11" s="11">
        <v>41.3</v>
      </c>
      <c r="H11" s="11">
        <v>48.4</v>
      </c>
      <c r="I11" s="11">
        <v>50.6</v>
      </c>
      <c r="J11" s="12">
        <f>SUM(G11:I11)</f>
        <v>140.29999999999998</v>
      </c>
    </row>
    <row r="12" spans="1:10" ht="15" customHeight="1" x14ac:dyDescent="0.25">
      <c r="A12" s="17" t="s">
        <v>17</v>
      </c>
      <c r="B12" s="18">
        <v>-21</v>
      </c>
      <c r="C12" s="18">
        <v>-14.3</v>
      </c>
      <c r="D12" s="18">
        <v>-10.5</v>
      </c>
      <c r="E12" s="18">
        <f>SUM(B12:D12)</f>
        <v>-45.8</v>
      </c>
      <c r="F12" s="6"/>
      <c r="G12" s="19">
        <v>-18.100000000000001</v>
      </c>
      <c r="H12" s="19">
        <v>-12</v>
      </c>
      <c r="I12" s="19">
        <v>-5.4</v>
      </c>
      <c r="J12" s="20">
        <f>SUM(G12:I12)</f>
        <v>-35.5</v>
      </c>
    </row>
    <row r="13" spans="1:10" ht="15" customHeight="1" x14ac:dyDescent="0.25">
      <c r="A13" s="3" t="s">
        <v>18</v>
      </c>
      <c r="B13" s="9">
        <v>479000</v>
      </c>
      <c r="C13" s="9">
        <v>497000</v>
      </c>
      <c r="D13" s="9">
        <v>533000</v>
      </c>
      <c r="E13" s="10">
        <f>SUM(B13:D13)</f>
        <v>1509000</v>
      </c>
      <c r="F13" s="6"/>
      <c r="G13" s="11">
        <v>457000</v>
      </c>
      <c r="H13" s="11">
        <v>464000</v>
      </c>
      <c r="I13" s="11">
        <v>472000</v>
      </c>
      <c r="J13" s="12">
        <f>SUM(G13:I13)</f>
        <v>1393000</v>
      </c>
    </row>
    <row r="14" spans="1:10" ht="15" customHeight="1" x14ac:dyDescent="0.25">
      <c r="A14" s="3" t="s">
        <v>19</v>
      </c>
      <c r="B14" s="13">
        <v>4.1220414406897499</v>
      </c>
      <c r="C14" s="13">
        <v>3.4623637609808799</v>
      </c>
      <c r="D14" s="13">
        <v>3.1654595684312699</v>
      </c>
      <c r="E14" s="14">
        <f>AVERAGE(B14:D14)</f>
        <v>3.5832882567006332</v>
      </c>
      <c r="F14" s="6"/>
      <c r="G14" s="15">
        <v>3.3911537047129099</v>
      </c>
      <c r="H14" s="15">
        <v>2.8545908484352802</v>
      </c>
      <c r="I14" s="15">
        <v>2.3894233473980302</v>
      </c>
      <c r="J14" s="16">
        <f>AVERAGE(G14:I14)</f>
        <v>2.8783893001820737</v>
      </c>
    </row>
    <row r="15" spans="1:10" ht="15" customHeight="1" x14ac:dyDescent="0.25">
      <c r="A15" s="3" t="s">
        <v>20</v>
      </c>
      <c r="B15" s="13">
        <v>0</v>
      </c>
      <c r="C15" s="13">
        <v>0.2417</v>
      </c>
      <c r="D15" s="13">
        <v>0.19989999999999999</v>
      </c>
      <c r="E15" s="14">
        <f>AVERAGE(B15:D15)</f>
        <v>0.1472</v>
      </c>
      <c r="F15" s="6"/>
      <c r="G15" s="15">
        <v>0</v>
      </c>
      <c r="H15" s="15">
        <v>0.2351</v>
      </c>
      <c r="I15" s="15">
        <v>0.2752</v>
      </c>
      <c r="J15" s="16">
        <f>AVERAGE(G15:I15)</f>
        <v>0.1701</v>
      </c>
    </row>
    <row r="16" spans="1:10" ht="15" customHeight="1" x14ac:dyDescent="0.25">
      <c r="A16" s="3" t="s">
        <v>21</v>
      </c>
      <c r="B16" s="13">
        <v>0</v>
      </c>
      <c r="C16" s="13">
        <v>2.5600000000000001E-2</v>
      </c>
      <c r="D16" s="13">
        <v>0.24579999999999999</v>
      </c>
      <c r="E16" s="14">
        <f>AVERAGE(B16:D16)</f>
        <v>9.0466666666666654E-2</v>
      </c>
      <c r="F16" s="6"/>
      <c r="G16" s="15">
        <v>0</v>
      </c>
      <c r="H16" s="15">
        <v>5.4899999999999997E-2</v>
      </c>
      <c r="I16" s="15">
        <v>0.21879999999999999</v>
      </c>
      <c r="J16" s="16">
        <f>AVERAGE(G16:I16)</f>
        <v>9.1233333333333333E-2</v>
      </c>
    </row>
    <row r="17" spans="1:10" ht="6" customHeight="1" x14ac:dyDescent="0.25">
      <c r="A17" s="24"/>
      <c r="B17" s="24"/>
      <c r="C17" s="24"/>
      <c r="D17" s="24"/>
      <c r="E17" s="24"/>
      <c r="F17" s="24"/>
      <c r="G17" s="24"/>
      <c r="H17" s="24"/>
      <c r="I17" s="24"/>
      <c r="J17" s="24"/>
    </row>
    <row r="18" spans="1:10" ht="21.75" customHeight="1" x14ac:dyDescent="0.25">
      <c r="A18" s="104" t="s">
        <v>287</v>
      </c>
      <c r="B18" s="104"/>
      <c r="C18" s="104"/>
      <c r="D18" s="104"/>
      <c r="E18" s="104"/>
      <c r="F18" s="104"/>
      <c r="G18" s="104"/>
      <c r="H18" s="104"/>
      <c r="I18" s="104"/>
      <c r="J18" s="104"/>
    </row>
    <row r="19" spans="1:10" ht="13.5" customHeight="1" x14ac:dyDescent="0.25">
      <c r="A19" t="s">
        <v>22</v>
      </c>
      <c r="B19" t="s">
        <v>23</v>
      </c>
      <c r="C19" t="s">
        <v>24</v>
      </c>
      <c r="D19" t="s">
        <v>25</v>
      </c>
      <c r="E19" s="24"/>
      <c r="F19" s="24"/>
    </row>
    <row r="20" spans="1:10" ht="12.75" customHeight="1" x14ac:dyDescent="0.25">
      <c r="A20" s="25" t="s">
        <v>26</v>
      </c>
      <c r="B20" s="26">
        <f>B5</f>
        <v>179775</v>
      </c>
      <c r="C20" s="26">
        <f>C5</f>
        <v>223229</v>
      </c>
      <c r="D20" s="26">
        <v>267860</v>
      </c>
    </row>
    <row r="21" spans="1:10" ht="12.75" customHeight="1" x14ac:dyDescent="0.25">
      <c r="A21" s="25" t="s">
        <v>27</v>
      </c>
      <c r="B21" s="26">
        <v>225699</v>
      </c>
      <c r="C21" s="26">
        <v>278772</v>
      </c>
      <c r="D21" s="26">
        <v>355500</v>
      </c>
    </row>
    <row r="22" spans="1:10" ht="12.75" customHeight="1" x14ac:dyDescent="0.25">
      <c r="A22" s="25" t="s">
        <v>28</v>
      </c>
      <c r="B22" s="26">
        <v>-561265</v>
      </c>
      <c r="C22" s="26">
        <v>-549671</v>
      </c>
      <c r="D22" s="26">
        <v>-580040</v>
      </c>
    </row>
    <row r="23" spans="1:10" ht="12.75" customHeight="1" x14ac:dyDescent="0.25">
      <c r="A23" s="25" t="s">
        <v>29</v>
      </c>
      <c r="B23" s="26">
        <v>-539681</v>
      </c>
      <c r="C23" s="26">
        <v>-517008</v>
      </c>
      <c r="D23" s="26">
        <v>-493940</v>
      </c>
    </row>
    <row r="24" spans="1:10" ht="12.75" customHeight="1" x14ac:dyDescent="0.25">
      <c r="A24" s="25" t="s">
        <v>30</v>
      </c>
      <c r="B24" s="26">
        <v>-577265</v>
      </c>
      <c r="C24" s="26">
        <v>-565671</v>
      </c>
      <c r="D24" s="26">
        <v>-596040</v>
      </c>
    </row>
    <row r="25" spans="1:10" ht="12.75" customHeight="1" x14ac:dyDescent="0.25">
      <c r="A25" s="25" t="s">
        <v>31</v>
      </c>
      <c r="B25" s="26">
        <v>-555681</v>
      </c>
      <c r="C25" s="26">
        <v>-533008</v>
      </c>
      <c r="D25" s="26">
        <v>-509940</v>
      </c>
    </row>
    <row r="27" spans="1:10" ht="13.5" customHeight="1" x14ac:dyDescent="0.25">
      <c r="A27" t="s">
        <v>32</v>
      </c>
      <c r="B27" t="s">
        <v>33</v>
      </c>
    </row>
    <row r="28" spans="1:10" ht="12.75" customHeight="1" x14ac:dyDescent="0.25">
      <c r="A28" s="25" t="s">
        <v>34</v>
      </c>
      <c r="B28" s="26">
        <v>750960</v>
      </c>
    </row>
    <row r="29" spans="1:10" ht="12.75" customHeight="1" x14ac:dyDescent="0.25">
      <c r="A29" s="25" t="s">
        <v>35</v>
      </c>
      <c r="B29" s="26">
        <v>795000</v>
      </c>
    </row>
    <row r="30" spans="1:10" ht="12.75" customHeight="1" x14ac:dyDescent="0.25">
      <c r="A30" s="25" t="s">
        <v>36</v>
      </c>
      <c r="B30" s="26">
        <v>330000</v>
      </c>
    </row>
    <row r="31" spans="1:10" ht="12.75" customHeight="1" x14ac:dyDescent="0.25">
      <c r="A31" s="25" t="s">
        <v>37</v>
      </c>
      <c r="B31" s="26">
        <v>149880</v>
      </c>
    </row>
    <row r="32" spans="1:10" ht="12.75" customHeight="1" x14ac:dyDescent="0.25">
      <c r="A32" s="25" t="s">
        <v>38</v>
      </c>
      <c r="B32" s="26">
        <v>190000</v>
      </c>
    </row>
    <row r="33" spans="1:2" ht="12.75" customHeight="1" x14ac:dyDescent="0.25">
      <c r="A33" s="25" t="s">
        <v>39</v>
      </c>
      <c r="B33" s="26">
        <v>146000</v>
      </c>
    </row>
    <row r="34" spans="1:2" ht="12.75" customHeight="1" x14ac:dyDescent="0.25">
      <c r="A34" s="25" t="s">
        <v>40</v>
      </c>
      <c r="B34" s="26">
        <v>48000</v>
      </c>
    </row>
  </sheetData>
  <mergeCells count="3">
    <mergeCell ref="A1:J1"/>
    <mergeCell ref="A2:J2"/>
    <mergeCell ref="A18:J18"/>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opLeftCell="A28" zoomScaleNormal="100" workbookViewId="0">
      <selection activeCell="A15" sqref="A15"/>
    </sheetView>
  </sheetViews>
  <sheetFormatPr defaultColWidth="8.7109375" defaultRowHeight="15" x14ac:dyDescent="0.25"/>
  <cols>
    <col min="1" max="1" width="6" customWidth="1"/>
    <col min="2" max="2" width="26" customWidth="1"/>
    <col min="3" max="3" width="52" customWidth="1"/>
    <col min="4" max="4" width="22" customWidth="1"/>
    <col min="5" max="5" width="18" customWidth="1"/>
  </cols>
  <sheetData>
    <row r="1" spans="1:5" ht="36" customHeight="1" x14ac:dyDescent="0.25">
      <c r="A1" s="102" t="s">
        <v>41</v>
      </c>
      <c r="B1" s="102"/>
      <c r="C1" s="102"/>
      <c r="D1" s="102"/>
      <c r="E1" s="102"/>
    </row>
    <row r="2" spans="1:5" x14ac:dyDescent="0.25">
      <c r="A2" s="113" t="s">
        <v>42</v>
      </c>
      <c r="B2" s="113"/>
      <c r="C2" s="113"/>
      <c r="D2" s="113"/>
      <c r="E2" s="113"/>
    </row>
    <row r="3" spans="1:5" ht="21.75" customHeight="1" x14ac:dyDescent="0.25">
      <c r="A3" s="114" t="s">
        <v>43</v>
      </c>
      <c r="B3" s="114"/>
      <c r="C3" s="114"/>
      <c r="D3" s="114"/>
      <c r="E3" s="114"/>
    </row>
    <row r="4" spans="1:5" ht="79.5" customHeight="1" x14ac:dyDescent="0.25">
      <c r="A4" s="115" t="s">
        <v>44</v>
      </c>
      <c r="B4" s="115"/>
      <c r="C4" s="115"/>
      <c r="D4" s="115"/>
      <c r="E4" s="115"/>
    </row>
    <row r="5" spans="1:5" ht="6" customHeight="1" x14ac:dyDescent="0.25">
      <c r="A5" s="24"/>
      <c r="B5" s="24"/>
      <c r="C5" s="24"/>
      <c r="D5" s="24"/>
      <c r="E5" s="24"/>
    </row>
    <row r="6" spans="1:5" ht="21.75" customHeight="1" x14ac:dyDescent="0.25">
      <c r="A6" s="103" t="s">
        <v>45</v>
      </c>
      <c r="B6" s="103"/>
      <c r="C6" s="103"/>
      <c r="D6" s="103"/>
      <c r="E6" s="103"/>
    </row>
    <row r="7" spans="1:5" ht="25.5" x14ac:dyDescent="0.25">
      <c r="A7" s="27" t="s">
        <v>46</v>
      </c>
      <c r="B7" s="28" t="s">
        <v>47</v>
      </c>
      <c r="C7" s="107" t="s">
        <v>48</v>
      </c>
      <c r="D7" s="108" t="s">
        <v>49</v>
      </c>
      <c r="E7" s="112" t="s">
        <v>50</v>
      </c>
    </row>
    <row r="8" spans="1:5" ht="45" customHeight="1" x14ac:dyDescent="0.25">
      <c r="A8" s="29"/>
      <c r="B8" s="29"/>
      <c r="C8" s="107"/>
      <c r="D8" s="107"/>
      <c r="E8" s="107"/>
    </row>
    <row r="9" spans="1:5" ht="38.25" x14ac:dyDescent="0.25">
      <c r="A9" s="27" t="str">
        <f>A7</f>
        <v>🔴</v>
      </c>
      <c r="B9" s="30" t="s">
        <v>51</v>
      </c>
      <c r="C9" s="107" t="s">
        <v>52</v>
      </c>
      <c r="D9" s="108" t="s">
        <v>53</v>
      </c>
      <c r="E9" s="111" t="s">
        <v>54</v>
      </c>
    </row>
    <row r="10" spans="1:5" ht="45" customHeight="1" x14ac:dyDescent="0.25">
      <c r="A10" s="29"/>
      <c r="B10" s="29"/>
      <c r="C10" s="107"/>
      <c r="D10" s="107"/>
      <c r="E10" s="107"/>
    </row>
    <row r="11" spans="1:5" ht="25.5" x14ac:dyDescent="0.25">
      <c r="A11" s="27" t="s">
        <v>46</v>
      </c>
      <c r="B11" s="28" t="s">
        <v>55</v>
      </c>
      <c r="C11" s="107" t="s">
        <v>56</v>
      </c>
      <c r="D11" s="108" t="s">
        <v>57</v>
      </c>
      <c r="E11" s="111" t="s">
        <v>58</v>
      </c>
    </row>
    <row r="12" spans="1:5" ht="45" customHeight="1" x14ac:dyDescent="0.25">
      <c r="A12" s="29"/>
      <c r="B12" s="29"/>
      <c r="C12" s="107"/>
      <c r="D12" s="107"/>
      <c r="E12" s="107"/>
    </row>
    <row r="13" spans="1:5" ht="25.5" x14ac:dyDescent="0.25">
      <c r="A13" s="27" t="str">
        <f>A11</f>
        <v>🔴</v>
      </c>
      <c r="B13" s="30" t="s">
        <v>59</v>
      </c>
      <c r="C13" s="107" t="s">
        <v>60</v>
      </c>
      <c r="D13" s="108" t="s">
        <v>61</v>
      </c>
      <c r="E13" s="110" t="s">
        <v>62</v>
      </c>
    </row>
    <row r="14" spans="1:5" ht="45" customHeight="1" x14ac:dyDescent="0.25">
      <c r="A14" s="29"/>
      <c r="B14" s="29"/>
      <c r="C14" s="107"/>
      <c r="D14" s="107"/>
      <c r="E14" s="107"/>
    </row>
    <row r="15" spans="1:5" ht="38.25" x14ac:dyDescent="0.25">
      <c r="A15" s="27" t="str">
        <f>A13</f>
        <v>🔴</v>
      </c>
      <c r="B15" s="31" t="s">
        <v>63</v>
      </c>
      <c r="C15" s="107" t="s">
        <v>64</v>
      </c>
      <c r="D15" s="108" t="s">
        <v>65</v>
      </c>
      <c r="E15" s="109" t="s">
        <v>66</v>
      </c>
    </row>
    <row r="16" spans="1:5" ht="45" customHeight="1" x14ac:dyDescent="0.25">
      <c r="A16" s="29"/>
      <c r="B16" s="29"/>
      <c r="C16" s="107"/>
      <c r="D16" s="107"/>
      <c r="E16" s="107"/>
    </row>
    <row r="17" spans="1:5" ht="25.5" x14ac:dyDescent="0.25">
      <c r="A17" s="27" t="s">
        <v>46</v>
      </c>
      <c r="B17" s="28" t="s">
        <v>67</v>
      </c>
      <c r="C17" s="107" t="s">
        <v>68</v>
      </c>
      <c r="D17" s="108" t="s">
        <v>69</v>
      </c>
      <c r="E17" s="110" t="s">
        <v>70</v>
      </c>
    </row>
    <row r="18" spans="1:5" ht="45" customHeight="1" x14ac:dyDescent="0.25">
      <c r="A18" s="29"/>
      <c r="B18" s="29"/>
      <c r="C18" s="107"/>
      <c r="D18" s="107"/>
      <c r="E18" s="107"/>
    </row>
    <row r="19" spans="1:5" ht="6" customHeight="1" x14ac:dyDescent="0.25">
      <c r="A19" s="24"/>
      <c r="B19" s="24"/>
      <c r="C19" s="24"/>
      <c r="D19" s="24"/>
      <c r="E19" s="24"/>
    </row>
    <row r="20" spans="1:5" ht="21.75" customHeight="1" x14ac:dyDescent="0.25">
      <c r="A20" s="106" t="s">
        <v>71</v>
      </c>
      <c r="B20" s="106"/>
      <c r="C20" s="106"/>
      <c r="D20" s="106"/>
      <c r="E20" s="106"/>
    </row>
    <row r="21" spans="1:5" ht="25.5" x14ac:dyDescent="0.25">
      <c r="A21" s="32" t="s">
        <v>72</v>
      </c>
      <c r="B21" s="33" t="s">
        <v>73</v>
      </c>
      <c r="C21" s="34" t="s">
        <v>74</v>
      </c>
      <c r="D21" s="35" t="s">
        <v>75</v>
      </c>
      <c r="E21" s="36" t="s">
        <v>76</v>
      </c>
    </row>
    <row r="22" spans="1:5" ht="51.75" customHeight="1" x14ac:dyDescent="0.25">
      <c r="A22" s="105" t="s">
        <v>77</v>
      </c>
      <c r="B22" s="105"/>
      <c r="C22" s="105"/>
      <c r="D22" s="105"/>
      <c r="E22" s="105"/>
    </row>
    <row r="23" spans="1:5" ht="6" customHeight="1" x14ac:dyDescent="0.25">
      <c r="A23" s="24"/>
      <c r="B23" s="24"/>
      <c r="C23" s="24"/>
      <c r="D23" s="24"/>
      <c r="E23" s="24"/>
    </row>
    <row r="24" spans="1:5" ht="25.5" x14ac:dyDescent="0.25">
      <c r="A24" s="32" t="s">
        <v>78</v>
      </c>
      <c r="B24" s="33" t="s">
        <v>79</v>
      </c>
      <c r="C24" s="34" t="s">
        <v>80</v>
      </c>
      <c r="D24" s="35" t="s">
        <v>75</v>
      </c>
      <c r="E24" s="36" t="s">
        <v>81</v>
      </c>
    </row>
    <row r="25" spans="1:5" ht="51.75" customHeight="1" x14ac:dyDescent="0.25">
      <c r="A25" s="105" t="s">
        <v>82</v>
      </c>
      <c r="B25" s="105"/>
      <c r="C25" s="105"/>
      <c r="D25" s="105"/>
      <c r="E25" s="105"/>
    </row>
    <row r="26" spans="1:5" ht="6" customHeight="1" x14ac:dyDescent="0.25">
      <c r="A26" s="24"/>
      <c r="B26" s="24"/>
      <c r="C26" s="24"/>
      <c r="D26" s="24"/>
      <c r="E26" s="24"/>
    </row>
    <row r="27" spans="1:5" ht="25.5" x14ac:dyDescent="0.25">
      <c r="A27" s="37" t="s">
        <v>83</v>
      </c>
      <c r="B27" s="33" t="s">
        <v>84</v>
      </c>
      <c r="C27" s="34" t="s">
        <v>85</v>
      </c>
      <c r="D27" s="38" t="s">
        <v>86</v>
      </c>
      <c r="E27" s="36" t="s">
        <v>87</v>
      </c>
    </row>
    <row r="28" spans="1:5" ht="51.75" customHeight="1" x14ac:dyDescent="0.25">
      <c r="A28" s="105" t="s">
        <v>88</v>
      </c>
      <c r="B28" s="105"/>
      <c r="C28" s="105"/>
      <c r="D28" s="105"/>
      <c r="E28" s="105"/>
    </row>
    <row r="29" spans="1:5" ht="6" customHeight="1" x14ac:dyDescent="0.25">
      <c r="A29" s="24"/>
      <c r="B29" s="24"/>
      <c r="C29" s="24"/>
      <c r="D29" s="24"/>
      <c r="E29" s="24"/>
    </row>
    <row r="30" spans="1:5" ht="25.5" x14ac:dyDescent="0.25">
      <c r="A30" s="37" t="s">
        <v>89</v>
      </c>
      <c r="B30" s="33" t="s">
        <v>90</v>
      </c>
      <c r="C30" s="34" t="s">
        <v>91</v>
      </c>
      <c r="D30" s="38" t="s">
        <v>86</v>
      </c>
      <c r="E30" s="36" t="s">
        <v>76</v>
      </c>
    </row>
    <row r="31" spans="1:5" ht="51.75" customHeight="1" x14ac:dyDescent="0.25">
      <c r="A31" s="105" t="s">
        <v>92</v>
      </c>
      <c r="B31" s="105"/>
      <c r="C31" s="105"/>
      <c r="D31" s="105"/>
      <c r="E31" s="105"/>
    </row>
    <row r="32" spans="1:5" ht="6" customHeight="1" x14ac:dyDescent="0.25">
      <c r="A32" s="24"/>
      <c r="B32" s="24"/>
      <c r="C32" s="24"/>
      <c r="D32" s="24"/>
      <c r="E32" s="24"/>
    </row>
    <row r="33" spans="1:5" ht="38.25" x14ac:dyDescent="0.25">
      <c r="A33" s="37" t="s">
        <v>93</v>
      </c>
      <c r="B33" s="33" t="s">
        <v>94</v>
      </c>
      <c r="C33" s="34" t="s">
        <v>95</v>
      </c>
      <c r="D33" s="38" t="s">
        <v>86</v>
      </c>
      <c r="E33" s="36" t="s">
        <v>96</v>
      </c>
    </row>
    <row r="34" spans="1:5" ht="51.75" customHeight="1" x14ac:dyDescent="0.25">
      <c r="A34" s="105" t="s">
        <v>97</v>
      </c>
      <c r="B34" s="105"/>
      <c r="C34" s="105"/>
      <c r="D34" s="105"/>
      <c r="E34" s="105"/>
    </row>
    <row r="35" spans="1:5" ht="6" customHeight="1" x14ac:dyDescent="0.25">
      <c r="A35" s="24"/>
      <c r="B35" s="24"/>
      <c r="C35" s="24"/>
      <c r="D35" s="24"/>
      <c r="E35" s="24"/>
    </row>
    <row r="36" spans="1:5" ht="38.25" x14ac:dyDescent="0.25">
      <c r="A36" s="39" t="s">
        <v>98</v>
      </c>
      <c r="B36" s="33" t="s">
        <v>99</v>
      </c>
      <c r="C36" s="34" t="s">
        <v>100</v>
      </c>
      <c r="D36" s="40" t="s">
        <v>101</v>
      </c>
      <c r="E36" s="36" t="s">
        <v>54</v>
      </c>
    </row>
    <row r="37" spans="1:5" ht="51.75" customHeight="1" x14ac:dyDescent="0.25">
      <c r="A37" s="105" t="s">
        <v>102</v>
      </c>
      <c r="B37" s="105"/>
      <c r="C37" s="105"/>
      <c r="D37" s="105"/>
      <c r="E37" s="105"/>
    </row>
    <row r="38" spans="1:5" ht="6" customHeight="1" x14ac:dyDescent="0.25">
      <c r="A38" s="24"/>
      <c r="B38" s="24"/>
      <c r="C38" s="24"/>
      <c r="D38" s="24"/>
      <c r="E38" s="24"/>
    </row>
  </sheetData>
  <mergeCells count="30">
    <mergeCell ref="A1:E1"/>
    <mergeCell ref="A2:E2"/>
    <mergeCell ref="A3:E3"/>
    <mergeCell ref="A4:E4"/>
    <mergeCell ref="A6:E6"/>
    <mergeCell ref="C7:C8"/>
    <mergeCell ref="D7:D8"/>
    <mergeCell ref="E7:E8"/>
    <mergeCell ref="C9:C10"/>
    <mergeCell ref="D9:D10"/>
    <mergeCell ref="E9:E10"/>
    <mergeCell ref="C11:C12"/>
    <mergeCell ref="D11:D12"/>
    <mergeCell ref="E11:E12"/>
    <mergeCell ref="C13:C14"/>
    <mergeCell ref="D13:D14"/>
    <mergeCell ref="E13:E14"/>
    <mergeCell ref="C15:C16"/>
    <mergeCell ref="D15:D16"/>
    <mergeCell ref="E15:E16"/>
    <mergeCell ref="C17:C18"/>
    <mergeCell ref="D17:D18"/>
    <mergeCell ref="E17:E18"/>
    <mergeCell ref="A34:E34"/>
    <mergeCell ref="A37:E37"/>
    <mergeCell ref="A20:E20"/>
    <mergeCell ref="A22:E22"/>
    <mergeCell ref="A25:E25"/>
    <mergeCell ref="A28:E28"/>
    <mergeCell ref="A31:E3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workbookViewId="0">
      <selection sqref="A1:G1"/>
    </sheetView>
  </sheetViews>
  <sheetFormatPr defaultColWidth="8.7109375" defaultRowHeight="15" x14ac:dyDescent="0.25"/>
  <cols>
    <col min="1" max="1" width="28" customWidth="1"/>
    <col min="2" max="3" width="13" customWidth="1"/>
    <col min="4" max="4" width="12" customWidth="1"/>
    <col min="5" max="5" width="10" customWidth="1"/>
    <col min="6" max="6" width="8" customWidth="1"/>
    <col min="7" max="7" width="42" customWidth="1"/>
  </cols>
  <sheetData>
    <row r="1" spans="1:7" ht="31.5" customHeight="1" x14ac:dyDescent="0.25">
      <c r="A1" s="116" t="s">
        <v>103</v>
      </c>
      <c r="B1" s="116"/>
      <c r="C1" s="116"/>
      <c r="D1" s="116"/>
      <c r="E1" s="116"/>
      <c r="F1" s="116"/>
      <c r="G1" s="116"/>
    </row>
    <row r="2" spans="1:7" x14ac:dyDescent="0.25">
      <c r="A2" s="113" t="s">
        <v>104</v>
      </c>
      <c r="B2" s="113"/>
      <c r="C2" s="113"/>
      <c r="D2" s="113"/>
      <c r="E2" s="113"/>
      <c r="F2" s="113"/>
      <c r="G2" s="113"/>
    </row>
    <row r="3" spans="1:7" ht="21.75" customHeight="1" x14ac:dyDescent="0.25">
      <c r="A3" s="41" t="s">
        <v>105</v>
      </c>
      <c r="B3" s="42" t="s">
        <v>106</v>
      </c>
      <c r="C3" s="43" t="s">
        <v>107</v>
      </c>
      <c r="D3" s="44" t="s">
        <v>108</v>
      </c>
      <c r="E3" s="44" t="s">
        <v>109</v>
      </c>
      <c r="F3" s="45" t="s">
        <v>110</v>
      </c>
      <c r="G3" s="46" t="s">
        <v>111</v>
      </c>
    </row>
    <row r="4" spans="1:7" ht="45" customHeight="1" x14ac:dyDescent="0.25">
      <c r="A4" s="17" t="s">
        <v>112</v>
      </c>
      <c r="B4" s="18">
        <v>670864</v>
      </c>
      <c r="C4" s="18">
        <v>859971</v>
      </c>
      <c r="D4" s="18">
        <f t="shared" ref="D4:D9" si="0">B4-C4</f>
        <v>-189107</v>
      </c>
      <c r="E4" s="21">
        <f t="shared" ref="E4:E20" si="1">IFERROR(D4/ABS(C4),0)</f>
        <v>-0.21989927567324943</v>
      </c>
      <c r="F4" s="47" t="s">
        <v>113</v>
      </c>
      <c r="G4" s="48" t="s">
        <v>114</v>
      </c>
    </row>
    <row r="5" spans="1:7" ht="30" customHeight="1" x14ac:dyDescent="0.25">
      <c r="A5" s="3" t="s">
        <v>115</v>
      </c>
      <c r="B5" s="9">
        <v>0</v>
      </c>
      <c r="C5" s="9">
        <v>0</v>
      </c>
      <c r="D5" s="9">
        <f t="shared" si="0"/>
        <v>0</v>
      </c>
      <c r="E5" s="13">
        <f t="shared" si="1"/>
        <v>0</v>
      </c>
      <c r="F5" s="49" t="s">
        <v>113</v>
      </c>
      <c r="G5" s="50" t="s">
        <v>116</v>
      </c>
    </row>
    <row r="6" spans="1:7" ht="30" customHeight="1" x14ac:dyDescent="0.25">
      <c r="A6" s="3" t="s">
        <v>117</v>
      </c>
      <c r="B6" s="9">
        <v>0</v>
      </c>
      <c r="C6" s="9">
        <v>0</v>
      </c>
      <c r="D6" s="9">
        <f t="shared" si="0"/>
        <v>0</v>
      </c>
      <c r="E6" s="13">
        <f t="shared" si="1"/>
        <v>0</v>
      </c>
      <c r="F6" s="49" t="s">
        <v>113</v>
      </c>
      <c r="G6" s="50" t="s">
        <v>118</v>
      </c>
    </row>
    <row r="7" spans="1:7" ht="30" customHeight="1" x14ac:dyDescent="0.25">
      <c r="A7" s="3" t="s">
        <v>119</v>
      </c>
      <c r="B7" s="9">
        <v>0</v>
      </c>
      <c r="C7" s="9">
        <v>0</v>
      </c>
      <c r="D7" s="9">
        <f t="shared" si="0"/>
        <v>0</v>
      </c>
      <c r="E7" s="13">
        <f t="shared" si="1"/>
        <v>0</v>
      </c>
      <c r="F7" s="49" t="s">
        <v>113</v>
      </c>
      <c r="G7" s="50" t="s">
        <v>120</v>
      </c>
    </row>
    <row r="8" spans="1:7" ht="30" customHeight="1" x14ac:dyDescent="0.25">
      <c r="A8" s="3" t="s">
        <v>121</v>
      </c>
      <c r="B8" s="9">
        <f>'📋 Raw Data'!E10</f>
        <v>208950</v>
      </c>
      <c r="C8" s="9">
        <f>'📋 Raw Data'!J10</f>
        <v>268650</v>
      </c>
      <c r="D8" s="9">
        <f t="shared" si="0"/>
        <v>-59700</v>
      </c>
      <c r="E8" s="13">
        <f t="shared" si="1"/>
        <v>-0.22222222222222221</v>
      </c>
      <c r="F8" s="49" t="s">
        <v>113</v>
      </c>
      <c r="G8" s="50" t="s">
        <v>122</v>
      </c>
    </row>
    <row r="9" spans="1:7" ht="30" customHeight="1" x14ac:dyDescent="0.25">
      <c r="A9" s="3" t="s">
        <v>123</v>
      </c>
      <c r="B9" s="9">
        <f>'📋 Raw Data'!E11</f>
        <v>60000</v>
      </c>
      <c r="C9" s="9">
        <f>'📋 Raw Data'!J11</f>
        <v>85000</v>
      </c>
      <c r="D9" s="9">
        <f t="shared" si="0"/>
        <v>-25000</v>
      </c>
      <c r="E9" s="13">
        <f t="shared" si="1"/>
        <v>-0.29411764705882354</v>
      </c>
      <c r="F9" s="49" t="s">
        <v>113</v>
      </c>
      <c r="G9" s="50" t="s">
        <v>124</v>
      </c>
    </row>
    <row r="10" spans="1:7" ht="45" customHeight="1" x14ac:dyDescent="0.25">
      <c r="A10" s="17" t="s">
        <v>125</v>
      </c>
      <c r="B10" s="18">
        <v>900840</v>
      </c>
      <c r="C10" s="18">
        <v>1065600</v>
      </c>
      <c r="D10" s="18">
        <f>C10-B10</f>
        <v>164760</v>
      </c>
      <c r="E10" s="21">
        <f t="shared" si="1"/>
        <v>0.15461711711711712</v>
      </c>
      <c r="F10" s="51" t="s">
        <v>126</v>
      </c>
      <c r="G10" s="48" t="s">
        <v>127</v>
      </c>
    </row>
    <row r="11" spans="1:7" ht="30" customHeight="1" x14ac:dyDescent="0.25">
      <c r="A11" s="3" t="s">
        <v>128</v>
      </c>
      <c r="B11" s="9">
        <f>'📋 Raw Data'!E13</f>
        <v>750960</v>
      </c>
      <c r="C11" s="9">
        <f>'📋 Raw Data'!J13</f>
        <v>885000</v>
      </c>
      <c r="D11" s="9">
        <f>C11-B11</f>
        <v>134040</v>
      </c>
      <c r="E11" s="13">
        <f t="shared" si="1"/>
        <v>0.15145762711864408</v>
      </c>
      <c r="F11" s="34" t="s">
        <v>126</v>
      </c>
      <c r="G11" s="50" t="s">
        <v>129</v>
      </c>
    </row>
    <row r="12" spans="1:7" ht="30" customHeight="1" x14ac:dyDescent="0.25">
      <c r="A12" s="3" t="s">
        <v>130</v>
      </c>
      <c r="B12" s="9">
        <f>'📋 Raw Data'!E15</f>
        <v>103500</v>
      </c>
      <c r="C12" s="9">
        <f>'📋 Raw Data'!J15</f>
        <v>127500</v>
      </c>
      <c r="D12" s="9">
        <f>C12-B12</f>
        <v>24000</v>
      </c>
      <c r="E12" s="13">
        <f t="shared" si="1"/>
        <v>0.18823529411764706</v>
      </c>
      <c r="F12" s="34" t="s">
        <v>126</v>
      </c>
      <c r="G12" s="50" t="s">
        <v>131</v>
      </c>
    </row>
    <row r="13" spans="1:7" ht="45" customHeight="1" x14ac:dyDescent="0.25">
      <c r="A13" s="17" t="s">
        <v>132</v>
      </c>
      <c r="B13" s="18">
        <v>-229976</v>
      </c>
      <c r="C13" s="18">
        <v>-205629</v>
      </c>
      <c r="D13" s="18">
        <f>B13-C13</f>
        <v>-24347</v>
      </c>
      <c r="E13" s="21">
        <f t="shared" si="1"/>
        <v>-0.11840255995020157</v>
      </c>
      <c r="F13" s="47" t="s">
        <v>113</v>
      </c>
      <c r="G13" s="48" t="s">
        <v>133</v>
      </c>
    </row>
    <row r="14" spans="1:7" ht="45" customHeight="1" x14ac:dyDescent="0.25">
      <c r="A14" s="17" t="s">
        <v>134</v>
      </c>
      <c r="B14" s="18">
        <v>1461000</v>
      </c>
      <c r="C14" s="18">
        <v>1345000</v>
      </c>
      <c r="D14" s="18">
        <f>C14-B14</f>
        <v>-116000</v>
      </c>
      <c r="E14" s="21">
        <f t="shared" si="1"/>
        <v>-8.6245353159851296E-2</v>
      </c>
      <c r="F14" s="47" t="s">
        <v>113</v>
      </c>
      <c r="G14" s="48" t="s">
        <v>135</v>
      </c>
    </row>
    <row r="15" spans="1:7" ht="30" customHeight="1" x14ac:dyDescent="0.25">
      <c r="A15" s="3" t="s">
        <v>136</v>
      </c>
      <c r="B15" s="9">
        <f>'📋 Raw Data'!E19</f>
        <v>195000</v>
      </c>
      <c r="C15" s="9">
        <f>'📋 Raw Data'!J19</f>
        <v>180000</v>
      </c>
      <c r="D15" s="9">
        <f>C15-B15</f>
        <v>-15000</v>
      </c>
      <c r="E15" s="13">
        <f t="shared" si="1"/>
        <v>-8.3333333333333329E-2</v>
      </c>
      <c r="F15" s="49" t="s">
        <v>113</v>
      </c>
      <c r="G15" s="50" t="s">
        <v>137</v>
      </c>
    </row>
    <row r="16" spans="1:7" ht="30" customHeight="1" x14ac:dyDescent="0.25">
      <c r="A16" s="3" t="s">
        <v>138</v>
      </c>
      <c r="B16" s="9">
        <f>'📋 Raw Data'!E20</f>
        <v>115000</v>
      </c>
      <c r="C16" s="9">
        <f>'📋 Raw Data'!J20</f>
        <v>90000</v>
      </c>
      <c r="D16" s="9">
        <f>C16-B16</f>
        <v>-25000</v>
      </c>
      <c r="E16" s="13">
        <f t="shared" si="1"/>
        <v>-0.27777777777777779</v>
      </c>
      <c r="F16" s="49" t="s">
        <v>113</v>
      </c>
      <c r="G16" s="50" t="s">
        <v>139</v>
      </c>
    </row>
    <row r="17" spans="1:7" ht="30" customHeight="1" x14ac:dyDescent="0.25">
      <c r="A17" s="3" t="s">
        <v>140</v>
      </c>
      <c r="B17" s="9">
        <f>'📋 Raw Data'!E22</f>
        <v>270000</v>
      </c>
      <c r="C17" s="9">
        <f>'📋 Raw Data'!J22</f>
        <v>225000</v>
      </c>
      <c r="D17" s="9">
        <f>C17-B17</f>
        <v>-45000</v>
      </c>
      <c r="E17" s="13">
        <f t="shared" si="1"/>
        <v>-0.2</v>
      </c>
      <c r="F17" s="49" t="s">
        <v>113</v>
      </c>
      <c r="G17" s="50" t="s">
        <v>141</v>
      </c>
    </row>
    <row r="18" spans="1:7" ht="30" customHeight="1" x14ac:dyDescent="0.25">
      <c r="A18" s="3" t="s">
        <v>142</v>
      </c>
      <c r="B18" s="9">
        <f>'📋 Raw Data'!E23</f>
        <v>60000</v>
      </c>
      <c r="C18" s="9">
        <f>'📋 Raw Data'!J23</f>
        <v>37000</v>
      </c>
      <c r="D18" s="9">
        <f>C18-B18</f>
        <v>-23000</v>
      </c>
      <c r="E18" s="13">
        <f t="shared" si="1"/>
        <v>-0.6216216216216216</v>
      </c>
      <c r="F18" s="49" t="s">
        <v>113</v>
      </c>
      <c r="G18" s="50" t="s">
        <v>143</v>
      </c>
    </row>
    <row r="19" spans="1:7" ht="45" customHeight="1" x14ac:dyDescent="0.25">
      <c r="A19" s="17" t="s">
        <v>144</v>
      </c>
      <c r="B19" s="18">
        <v>-1690976</v>
      </c>
      <c r="C19" s="18">
        <v>-1550629</v>
      </c>
      <c r="D19" s="18">
        <f>B19-C19</f>
        <v>-140347</v>
      </c>
      <c r="E19" s="21">
        <f t="shared" si="1"/>
        <v>-9.0509722183707383E-2</v>
      </c>
      <c r="F19" s="47" t="s">
        <v>113</v>
      </c>
      <c r="G19" s="48" t="s">
        <v>145</v>
      </c>
    </row>
    <row r="20" spans="1:7" ht="45" customHeight="1" x14ac:dyDescent="0.25">
      <c r="A20" s="17" t="s">
        <v>146</v>
      </c>
      <c r="B20" s="18">
        <v>-1738976</v>
      </c>
      <c r="C20" s="18">
        <v>-1598629</v>
      </c>
      <c r="D20" s="18">
        <f>B20-C20</f>
        <v>-140347</v>
      </c>
      <c r="E20" s="21">
        <f t="shared" si="1"/>
        <v>-8.7792101857278954E-2</v>
      </c>
      <c r="F20" s="47" t="s">
        <v>113</v>
      </c>
      <c r="G20" s="48" t="s">
        <v>147</v>
      </c>
    </row>
  </sheetData>
  <mergeCells count="2">
    <mergeCell ref="A1:G1"/>
    <mergeCell ref="A2:G2"/>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election activeCell="O28" sqref="O28"/>
    </sheetView>
  </sheetViews>
  <sheetFormatPr defaultColWidth="8.7109375" defaultRowHeight="15" x14ac:dyDescent="0.25"/>
  <cols>
    <col min="1" max="1" width="34" customWidth="1"/>
    <col min="2" max="5" width="14" customWidth="1"/>
    <col min="6" max="6" width="2" customWidth="1"/>
    <col min="7" max="10" width="14" customWidth="1"/>
    <col min="11" max="11" width="16" customWidth="1"/>
  </cols>
  <sheetData>
    <row r="1" spans="1:11" ht="31.5" customHeight="1" x14ac:dyDescent="0.25">
      <c r="A1" s="116" t="s">
        <v>148</v>
      </c>
      <c r="B1" s="116"/>
      <c r="C1" s="116"/>
      <c r="D1" s="116"/>
      <c r="E1" s="116"/>
      <c r="F1" s="116"/>
      <c r="G1" s="116"/>
      <c r="H1" s="116"/>
      <c r="I1" s="116"/>
      <c r="J1" s="116"/>
      <c r="K1" s="116"/>
    </row>
    <row r="2" spans="1:11" ht="18" customHeight="1" x14ac:dyDescent="0.25">
      <c r="A2" s="113" t="s">
        <v>149</v>
      </c>
      <c r="B2" s="113"/>
      <c r="C2" s="113"/>
      <c r="D2" s="113"/>
      <c r="E2" s="113"/>
      <c r="F2" s="113"/>
      <c r="G2" s="113"/>
      <c r="H2" s="113"/>
      <c r="I2" s="113"/>
      <c r="J2" s="113"/>
      <c r="K2" s="113"/>
    </row>
    <row r="3" spans="1:11" ht="21.75" customHeight="1" x14ac:dyDescent="0.25">
      <c r="A3" s="103" t="s">
        <v>150</v>
      </c>
      <c r="B3" s="103"/>
      <c r="C3" s="103"/>
      <c r="D3" s="103"/>
      <c r="E3" s="103"/>
      <c r="F3" s="103"/>
      <c r="G3" s="103"/>
      <c r="H3" s="103"/>
      <c r="I3" s="103"/>
      <c r="J3" s="103"/>
      <c r="K3" s="103"/>
    </row>
    <row r="4" spans="1:11" ht="18" customHeight="1" x14ac:dyDescent="0.25">
      <c r="A4" s="1" t="s">
        <v>105</v>
      </c>
      <c r="B4" s="52" t="s">
        <v>151</v>
      </c>
      <c r="C4" s="52" t="s">
        <v>152</v>
      </c>
      <c r="D4" s="52" t="s">
        <v>153</v>
      </c>
      <c r="E4" s="53" t="s">
        <v>106</v>
      </c>
      <c r="F4" s="2"/>
      <c r="G4" s="40" t="s">
        <v>154</v>
      </c>
      <c r="H4" s="40" t="s">
        <v>155</v>
      </c>
      <c r="I4" s="40" t="s">
        <v>156</v>
      </c>
      <c r="J4" s="54" t="s">
        <v>107</v>
      </c>
      <c r="K4" s="55" t="s">
        <v>157</v>
      </c>
    </row>
    <row r="5" spans="1:11" ht="15" customHeight="1" x14ac:dyDescent="0.25">
      <c r="A5" s="56" t="s">
        <v>158</v>
      </c>
      <c r="B5" s="57">
        <f>'📋 Raw Data'!B5</f>
        <v>4680</v>
      </c>
      <c r="C5" s="57">
        <f>'📋 Raw Data'!C5</f>
        <v>4800</v>
      </c>
      <c r="D5" s="57">
        <f>'📋 Raw Data'!D5</f>
        <v>5980</v>
      </c>
      <c r="E5" s="58">
        <f>'📋 Raw Data'!E5</f>
        <v>15460</v>
      </c>
      <c r="F5" s="6"/>
      <c r="G5" s="59">
        <f>'📋 Raw Data'!G5</f>
        <v>5460</v>
      </c>
      <c r="H5" s="59">
        <f>'📋 Raw Data'!H5</f>
        <v>5760</v>
      </c>
      <c r="I5" s="59">
        <f>'📋 Raw Data'!I5</f>
        <v>7020</v>
      </c>
      <c r="J5" s="60">
        <f>'📋 Raw Data'!J5</f>
        <v>18240</v>
      </c>
      <c r="K5" s="61">
        <f>IFERROR(B5-G5,0)</f>
        <v>-780</v>
      </c>
    </row>
    <row r="6" spans="1:11" ht="15" customHeight="1" x14ac:dyDescent="0.25">
      <c r="A6" s="3" t="s">
        <v>159</v>
      </c>
      <c r="B6" s="9">
        <f>IFERROR('📋 Raw Data'!B7/B5,0)</f>
        <v>4.1997863247863245</v>
      </c>
      <c r="C6" s="9">
        <f>IFERROR('📋 Raw Data'!C7/B5,0)</f>
        <v>4.64508547008547</v>
      </c>
      <c r="D6" s="9">
        <f>IFERROR('📋 Raw Data'!D7/B5,0)</f>
        <v>5.3418803418803416</v>
      </c>
      <c r="E6" s="62">
        <f t="shared" ref="E6:E11" si="0">IFERROR(SUM(B6:D6)/3,0)</f>
        <v>4.7289173789173793</v>
      </c>
      <c r="F6" s="6"/>
      <c r="G6" s="11">
        <f>IFERROR('📋 Raw Data'!G7/G5,0)</f>
        <v>4.2214285714285715</v>
      </c>
      <c r="H6" s="11">
        <f>IFERROR('📋 Raw Data'!H7/G5,0)</f>
        <v>4.7366300366300367</v>
      </c>
      <c r="I6" s="11">
        <f>IFERROR('📋 Raw Data'!I7/G5,0)</f>
        <v>5.4450549450549453</v>
      </c>
      <c r="J6" s="11">
        <f t="shared" ref="J6:J11" si="1">IFERROR(SUM(G6:I6)/3,0)</f>
        <v>4.8010378510378509</v>
      </c>
      <c r="K6" s="63">
        <f t="shared" ref="K6:K12" si="2">IFERROR(E6-J6,0)</f>
        <v>-7.2120472120471568E-2</v>
      </c>
    </row>
    <row r="7" spans="1:11" ht="15" customHeight="1" x14ac:dyDescent="0.25">
      <c r="A7" s="3" t="s">
        <v>160</v>
      </c>
      <c r="B7" s="9">
        <f>IFERROR('📋 Raw Data'!B7*0.15/1.18/B5,0)</f>
        <v>0.53387114298131255</v>
      </c>
      <c r="C7" s="9">
        <f>IFERROR('📋 Raw Data'!C7*0.15/1.18/B5,0)</f>
        <v>0.59047696653628856</v>
      </c>
      <c r="D7" s="9">
        <f>IFERROR('📋 Raw Data'!D7*0.15/1.18/B5,0)</f>
        <v>0.67905258583224681</v>
      </c>
      <c r="E7" s="62">
        <f t="shared" si="0"/>
        <v>0.60113356511661598</v>
      </c>
      <c r="F7" s="6"/>
      <c r="G7" s="11">
        <f>IFERROR('📋 Raw Data'!G7*0.15/1.18/G5,0)</f>
        <v>0.53662227602905577</v>
      </c>
      <c r="H7" s="11">
        <f>IFERROR('📋 Raw Data'!H7*0.15/1.18/G5,0)</f>
        <v>0.60211398770720803</v>
      </c>
      <c r="I7" s="11">
        <f>IFERROR('📋 Raw Data'!I7*0.15/1.18/G5,0)</f>
        <v>0.69216800149003543</v>
      </c>
      <c r="J7" s="11">
        <f t="shared" si="1"/>
        <v>0.61030142174209967</v>
      </c>
      <c r="K7" s="63">
        <f t="shared" si="2"/>
        <v>-9.1678566254836946E-3</v>
      </c>
    </row>
    <row r="8" spans="1:11" ht="15" customHeight="1" x14ac:dyDescent="0.25">
      <c r="A8" s="64" t="s">
        <v>161</v>
      </c>
      <c r="B8" s="65">
        <f>IFERROR('📋 Raw Data'!B13/B5,0)</f>
        <v>50</v>
      </c>
      <c r="C8" s="65">
        <f>IFERROR('📋 Raw Data'!C13/B5,0)</f>
        <v>51.282051282051285</v>
      </c>
      <c r="D8" s="65">
        <f>IFERROR('📋 Raw Data'!D13/B5,0)</f>
        <v>59.179487179487182</v>
      </c>
      <c r="E8" s="62">
        <f t="shared" si="0"/>
        <v>53.487179487179482</v>
      </c>
      <c r="F8" s="6"/>
      <c r="G8" s="11">
        <f>IFERROR('📋 Raw Data'!G13/G5,0)</f>
        <v>50</v>
      </c>
      <c r="H8" s="11">
        <f>IFERROR('📋 Raw Data'!H13/G5,0)</f>
        <v>52.747252747252745</v>
      </c>
      <c r="I8" s="11">
        <f>IFERROR('📋 Raw Data'!I13/G5,0)</f>
        <v>59.340659340659343</v>
      </c>
      <c r="J8" s="11">
        <f t="shared" si="1"/>
        <v>54.029304029304029</v>
      </c>
      <c r="K8" s="63">
        <f t="shared" si="2"/>
        <v>-0.5421245421245473</v>
      </c>
    </row>
    <row r="9" spans="1:11" ht="15" customHeight="1" x14ac:dyDescent="0.25">
      <c r="A9" s="64" t="s">
        <v>162</v>
      </c>
      <c r="B9" s="65">
        <f>IFERROR('📋 Raw Data'!B14/B5,0)</f>
        <v>3</v>
      </c>
      <c r="C9" s="65">
        <f>IFERROR('📋 Raw Data'!C14/B5,0)</f>
        <v>3.0769230769230771</v>
      </c>
      <c r="D9" s="65">
        <f>IFERROR('📋 Raw Data'!D14/B5,0)</f>
        <v>3.8333333333333335</v>
      </c>
      <c r="E9" s="62">
        <f t="shared" si="0"/>
        <v>3.3034188034188037</v>
      </c>
      <c r="F9" s="6"/>
      <c r="G9" s="11">
        <f>IFERROR('📋 Raw Data'!G14/G5,0)</f>
        <v>3</v>
      </c>
      <c r="H9" s="11">
        <f>IFERROR('📋 Raw Data'!H14/G5,0)</f>
        <v>3.1648351648351647</v>
      </c>
      <c r="I9" s="11">
        <f>IFERROR('📋 Raw Data'!I14/G5,0)</f>
        <v>3.5604395604395602</v>
      </c>
      <c r="J9" s="11">
        <f t="shared" si="1"/>
        <v>3.2417582417582413</v>
      </c>
      <c r="K9" s="63">
        <f t="shared" si="2"/>
        <v>6.166056166056233E-2</v>
      </c>
    </row>
    <row r="10" spans="1:11" ht="15" customHeight="1" x14ac:dyDescent="0.25">
      <c r="A10" s="17" t="s">
        <v>163</v>
      </c>
      <c r="B10" s="18">
        <f>B7-B8-B9</f>
        <v>-52.466128857018688</v>
      </c>
      <c r="C10" s="18">
        <f>C7-C8-C9</f>
        <v>-53.768497392438078</v>
      </c>
      <c r="D10" s="18">
        <f>D7-D8-D9</f>
        <v>-62.333767926988273</v>
      </c>
      <c r="E10" s="18">
        <f t="shared" si="0"/>
        <v>-56.189464725481685</v>
      </c>
      <c r="F10" s="6"/>
      <c r="G10" s="18">
        <f>G7-G8-G9</f>
        <v>-52.463377723970943</v>
      </c>
      <c r="H10" s="18">
        <f>H7-H8-H9</f>
        <v>-55.309973924380706</v>
      </c>
      <c r="I10" s="18">
        <f>I7-I8-I9</f>
        <v>-62.208930899608866</v>
      </c>
      <c r="J10" s="18">
        <f t="shared" si="1"/>
        <v>-56.660760849320177</v>
      </c>
      <c r="K10" s="66">
        <f t="shared" si="2"/>
        <v>0.47129612383849206</v>
      </c>
    </row>
    <row r="11" spans="1:11" ht="15" customHeight="1" x14ac:dyDescent="0.25">
      <c r="A11" s="17" t="s">
        <v>164</v>
      </c>
      <c r="B11" s="21">
        <f>IFERROR(B10/B7,0)</f>
        <v>-98.274891885016515</v>
      </c>
      <c r="C11" s="21">
        <f>IFERROR(C10/C7,0)</f>
        <v>-91.059432356594158</v>
      </c>
      <c r="D11" s="21">
        <f>IFERROR(D10/D7,0)</f>
        <v>-91.795200000000008</v>
      </c>
      <c r="E11" s="21">
        <f t="shared" si="0"/>
        <v>-93.709841413870222</v>
      </c>
      <c r="F11" s="6"/>
      <c r="G11" s="21">
        <f>IFERROR(G10/G7,0)</f>
        <v>-97.765933446136472</v>
      </c>
      <c r="H11" s="21">
        <f>IFERROR(H10/H7,0)</f>
        <v>-91.859639625705668</v>
      </c>
      <c r="I11" s="21">
        <f>IFERROR(I10/I7,0)</f>
        <v>-89.875479313824414</v>
      </c>
      <c r="J11" s="21">
        <f t="shared" si="1"/>
        <v>-93.167017461888861</v>
      </c>
      <c r="K11" s="67">
        <f t="shared" si="2"/>
        <v>-0.54282395198136157</v>
      </c>
    </row>
    <row r="12" spans="1:11" ht="15" customHeight="1" x14ac:dyDescent="0.25">
      <c r="A12" s="68" t="s">
        <v>165</v>
      </c>
      <c r="B12" s="69">
        <f>IFERROR(('📋 Raw Data'!B17+'📋 Raw Data'!B18+'📋 Raw Data'!B19+'📋 Raw Data'!B20+'📋 Raw Data'!B21+'📋 Raw Data'!B22+'📋 Raw Data'!B23+'📋 Raw Data'!B24+'📋 Raw Data'!B25+'📋 Raw Data'!B26+'📋 Raw Data'!B27)/B10/30,0)</f>
        <v>-294.1580343271072</v>
      </c>
      <c r="C12" s="69">
        <f>IFERROR(('📋 Raw Data'!C17+'📋 Raw Data'!C18+'📋 Raw Data'!C19+'📋 Raw Data'!C20+'📋 Raw Data'!C21+'📋 Raw Data'!C22+'📋 Raw Data'!C23+'📋 Raw Data'!C24+'📋 Raw Data'!C25+'📋 Raw Data'!C26+'📋 Raw Data'!C27)/C10/30,0)</f>
        <v>-298.19195459957632</v>
      </c>
      <c r="D12" s="69">
        <f>IFERROR(('📋 Raw Data'!D17+'📋 Raw Data'!D18+'📋 Raw Data'!D19+'📋 Raw Data'!D20+'📋 Raw Data'!D21+'📋 Raw Data'!D22+'📋 Raw Data'!D23+'📋 Raw Data'!D24+'📋 Raw Data'!D25+'📋 Raw Data'!D26+'📋 Raw Data'!D27)/D10/30,0)</f>
        <v>-276.46866067071039</v>
      </c>
      <c r="E12" s="69">
        <f>AVERAGE(B12:D12)</f>
        <v>-289.60621653246466</v>
      </c>
      <c r="F12" s="6"/>
      <c r="G12" s="69">
        <f>IFERROR(('📋 Raw Data'!G17+'📋 Raw Data'!G18+'📋 Raw Data'!G19+'📋 Raw Data'!G20+'📋 Raw Data'!G21+'📋 Raw Data'!G22+'📋 Raw Data'!G23+'📋 Raw Data'!G24+'📋 Raw Data'!G25+'📋 Raw Data'!G26+'📋 Raw Data'!G27)/G10/30,0)</f>
        <v>-280.19545514858169</v>
      </c>
      <c r="H12" s="69">
        <f>IFERROR(('📋 Raw Data'!H17+'📋 Raw Data'!H18+'📋 Raw Data'!H19+'📋 Raw Data'!H20+'📋 Raw Data'!H21+'📋 Raw Data'!H22+'📋 Raw Data'!H23+'📋 Raw Data'!H24+'📋 Raw Data'!H25+'📋 Raw Data'!H26+'📋 Raw Data'!H27)/H10/30,0)</f>
        <v>-269.99349798555414</v>
      </c>
      <c r="I12" s="69">
        <f>IFERROR(('📋 Raw Data'!I17+'📋 Raw Data'!I18+'📋 Raw Data'!I19+'📋 Raw Data'!I20+'📋 Raw Data'!I21+'📋 Raw Data'!I22+'📋 Raw Data'!I23+'📋 Raw Data'!I24+'📋 Raw Data'!I25+'📋 Raw Data'!I26+'📋 Raw Data'!I27)/I10/30,0)</f>
        <v>-244.33790743855346</v>
      </c>
      <c r="J12" s="69">
        <f>AVERAGE(G12:I12)</f>
        <v>-264.84228685756307</v>
      </c>
      <c r="K12" s="70">
        <f t="shared" si="2"/>
        <v>-24.76392967490159</v>
      </c>
    </row>
    <row r="13" spans="1:11" ht="6" customHeight="1" x14ac:dyDescent="0.25">
      <c r="A13" s="24"/>
      <c r="B13" s="24"/>
      <c r="C13" s="24"/>
      <c r="D13" s="24"/>
      <c r="E13" s="24"/>
      <c r="F13" s="24"/>
      <c r="G13" s="24"/>
      <c r="H13" s="24"/>
      <c r="I13" s="24"/>
      <c r="J13" s="24"/>
      <c r="K13" s="24"/>
    </row>
    <row r="14" spans="1:11" ht="21.75" customHeight="1" x14ac:dyDescent="0.25">
      <c r="A14" s="118" t="s">
        <v>166</v>
      </c>
      <c r="B14" s="118"/>
      <c r="C14" s="118"/>
      <c r="D14" s="118"/>
      <c r="E14" s="118"/>
      <c r="F14" s="118"/>
      <c r="G14" s="118"/>
      <c r="H14" s="118"/>
      <c r="I14" s="118"/>
      <c r="J14" s="118"/>
      <c r="K14" s="118"/>
    </row>
    <row r="15" spans="1:11" ht="15" customHeight="1" x14ac:dyDescent="0.25">
      <c r="A15" s="3" t="s">
        <v>167</v>
      </c>
      <c r="B15" s="4">
        <v>600</v>
      </c>
      <c r="C15" s="4">
        <v>750</v>
      </c>
      <c r="D15" s="4">
        <v>900</v>
      </c>
      <c r="E15" s="71">
        <f t="shared" ref="E15:E22" si="3">AVERAGE(B15:D15)</f>
        <v>750</v>
      </c>
      <c r="F15" s="6"/>
      <c r="G15" s="7">
        <v>700</v>
      </c>
      <c r="H15" s="7">
        <v>850</v>
      </c>
      <c r="I15" s="7">
        <v>1000</v>
      </c>
      <c r="J15" s="7">
        <f t="shared" ref="J15:J22" si="4">AVERAGE(G15:I15)</f>
        <v>850</v>
      </c>
      <c r="K15" s="61">
        <f t="shared" ref="K15:K22" si="5">IFERROR(E15-J15,0)</f>
        <v>-100</v>
      </c>
    </row>
    <row r="16" spans="1:11" ht="15" customHeight="1" x14ac:dyDescent="0.25">
      <c r="A16" s="3" t="s">
        <v>168</v>
      </c>
      <c r="B16" s="9">
        <v>95000</v>
      </c>
      <c r="C16" s="9">
        <v>110000</v>
      </c>
      <c r="D16" s="9">
        <v>125000</v>
      </c>
      <c r="E16" s="62">
        <f t="shared" si="3"/>
        <v>110000</v>
      </c>
      <c r="F16" s="6"/>
      <c r="G16" s="11">
        <v>80000</v>
      </c>
      <c r="H16" s="11">
        <v>87000</v>
      </c>
      <c r="I16" s="11">
        <v>95000</v>
      </c>
      <c r="J16" s="11">
        <f t="shared" si="4"/>
        <v>87333.333333333328</v>
      </c>
      <c r="K16" s="63">
        <f t="shared" si="5"/>
        <v>22666.666666666672</v>
      </c>
    </row>
    <row r="17" spans="1:11" ht="15" customHeight="1" x14ac:dyDescent="0.25">
      <c r="A17" s="3" t="s">
        <v>169</v>
      </c>
      <c r="B17" s="9">
        <v>30000</v>
      </c>
      <c r="C17" s="9">
        <v>37500</v>
      </c>
      <c r="D17" s="9">
        <v>36000</v>
      </c>
      <c r="E17" s="62">
        <f t="shared" si="3"/>
        <v>34500</v>
      </c>
      <c r="F17" s="6"/>
      <c r="G17" s="11">
        <v>35000</v>
      </c>
      <c r="H17" s="11">
        <v>42500</v>
      </c>
      <c r="I17" s="11">
        <v>50000</v>
      </c>
      <c r="J17" s="11">
        <f t="shared" si="4"/>
        <v>42500</v>
      </c>
      <c r="K17" s="63">
        <f t="shared" si="5"/>
        <v>-8000</v>
      </c>
    </row>
    <row r="18" spans="1:11" ht="15" customHeight="1" x14ac:dyDescent="0.25">
      <c r="A18" s="17" t="s">
        <v>170</v>
      </c>
      <c r="B18" s="18">
        <v>125000</v>
      </c>
      <c r="C18" s="18">
        <v>147500</v>
      </c>
      <c r="D18" s="18">
        <v>161000</v>
      </c>
      <c r="E18" s="72">
        <f t="shared" si="3"/>
        <v>144500</v>
      </c>
      <c r="F18" s="6"/>
      <c r="G18" s="18">
        <v>207500</v>
      </c>
      <c r="H18" s="18">
        <v>214500</v>
      </c>
      <c r="I18" s="18">
        <v>222500</v>
      </c>
      <c r="J18" s="18">
        <f t="shared" si="4"/>
        <v>214833.33333333334</v>
      </c>
      <c r="K18" s="66">
        <f t="shared" si="5"/>
        <v>-70333.333333333343</v>
      </c>
    </row>
    <row r="19" spans="1:11" ht="15" customHeight="1" x14ac:dyDescent="0.25">
      <c r="A19" s="17" t="s">
        <v>171</v>
      </c>
      <c r="B19" s="18">
        <v>208.3</v>
      </c>
      <c r="C19" s="18">
        <v>196.7</v>
      </c>
      <c r="D19" s="18">
        <v>178.9</v>
      </c>
      <c r="E19" s="72">
        <f t="shared" si="3"/>
        <v>194.63333333333333</v>
      </c>
      <c r="F19" s="6"/>
      <c r="G19" s="18">
        <v>214.3</v>
      </c>
      <c r="H19" s="18">
        <v>193.5</v>
      </c>
      <c r="I19" s="18">
        <v>180</v>
      </c>
      <c r="J19" s="18">
        <f t="shared" si="4"/>
        <v>195.93333333333331</v>
      </c>
      <c r="K19" s="66">
        <f t="shared" si="5"/>
        <v>-1.2999999999999829</v>
      </c>
    </row>
    <row r="20" spans="1:11" ht="15" customHeight="1" x14ac:dyDescent="0.25">
      <c r="A20" s="3" t="s">
        <v>172</v>
      </c>
      <c r="B20" s="9">
        <v>749.1</v>
      </c>
      <c r="C20" s="9">
        <v>744.1</v>
      </c>
      <c r="D20" s="9">
        <v>744.1</v>
      </c>
      <c r="E20" s="62">
        <f t="shared" si="3"/>
        <v>745.76666666666677</v>
      </c>
      <c r="F20" s="6"/>
      <c r="G20" s="11">
        <v>806.1</v>
      </c>
      <c r="H20" s="11">
        <v>819.9</v>
      </c>
      <c r="I20" s="11">
        <v>888.8</v>
      </c>
      <c r="J20" s="11">
        <f t="shared" si="4"/>
        <v>838.26666666666677</v>
      </c>
      <c r="K20" s="63">
        <f t="shared" si="5"/>
        <v>-92.5</v>
      </c>
    </row>
    <row r="21" spans="1:11" ht="15" customHeight="1" x14ac:dyDescent="0.25">
      <c r="A21" s="3" t="s">
        <v>173</v>
      </c>
      <c r="B21" s="9">
        <v>8989</v>
      </c>
      <c r="C21" s="9">
        <v>8929</v>
      </c>
      <c r="D21" s="9">
        <v>8929</v>
      </c>
      <c r="E21" s="62">
        <f t="shared" si="3"/>
        <v>8949</v>
      </c>
      <c r="F21" s="6"/>
      <c r="G21" s="11">
        <v>9673</v>
      </c>
      <c r="H21" s="11">
        <v>9839</v>
      </c>
      <c r="I21" s="11">
        <v>10665</v>
      </c>
      <c r="J21" s="11">
        <f t="shared" si="4"/>
        <v>10059</v>
      </c>
      <c r="K21" s="63">
        <f t="shared" si="5"/>
        <v>-1110</v>
      </c>
    </row>
    <row r="22" spans="1:11" ht="15" customHeight="1" x14ac:dyDescent="0.25">
      <c r="A22" s="17" t="s">
        <v>174</v>
      </c>
      <c r="B22" s="73">
        <v>43.15</v>
      </c>
      <c r="C22" s="73">
        <v>45.4</v>
      </c>
      <c r="D22" s="73">
        <v>49.91</v>
      </c>
      <c r="E22" s="74">
        <f t="shared" si="3"/>
        <v>46.153333333333329</v>
      </c>
      <c r="F22" s="6"/>
      <c r="G22" s="73">
        <v>45.14</v>
      </c>
      <c r="H22" s="73">
        <v>50.84</v>
      </c>
      <c r="I22" s="73">
        <v>59.25</v>
      </c>
      <c r="J22" s="73">
        <f t="shared" si="4"/>
        <v>51.743333333333339</v>
      </c>
      <c r="K22" s="75">
        <f t="shared" si="5"/>
        <v>-5.5900000000000105</v>
      </c>
    </row>
    <row r="24" spans="1:11" ht="6" customHeight="1" x14ac:dyDescent="0.25">
      <c r="A24" s="24"/>
      <c r="B24" s="24"/>
      <c r="C24" s="24"/>
      <c r="D24" s="24"/>
      <c r="E24" s="24"/>
      <c r="F24" s="24"/>
      <c r="G24" s="24"/>
      <c r="H24" s="24"/>
      <c r="I24" s="24"/>
      <c r="J24" s="24"/>
      <c r="K24" s="24"/>
    </row>
    <row r="25" spans="1:11" ht="21.75" customHeight="1" x14ac:dyDescent="0.25">
      <c r="A25" s="119" t="s">
        <v>175</v>
      </c>
      <c r="B25" s="119"/>
      <c r="C25" s="119"/>
      <c r="D25" s="119"/>
      <c r="E25" s="119"/>
      <c r="F25" s="119"/>
      <c r="G25" s="119"/>
      <c r="H25" s="119"/>
      <c r="I25" s="119"/>
      <c r="J25" s="119"/>
      <c r="K25" s="119"/>
    </row>
    <row r="26" spans="1:11" ht="39.75" customHeight="1" x14ac:dyDescent="0.25">
      <c r="A26" s="76" t="s">
        <v>176</v>
      </c>
      <c r="B26" s="117" t="s">
        <v>177</v>
      </c>
      <c r="C26" s="117"/>
      <c r="D26" s="117"/>
      <c r="E26" s="117"/>
      <c r="F26" s="117"/>
      <c r="G26" s="117"/>
      <c r="H26" s="117"/>
      <c r="I26" s="117"/>
      <c r="J26" s="117"/>
      <c r="K26" s="117"/>
    </row>
    <row r="27" spans="1:11" ht="39.75" customHeight="1" x14ac:dyDescent="0.25">
      <c r="A27" s="76" t="s">
        <v>178</v>
      </c>
      <c r="B27" s="117" t="s">
        <v>179</v>
      </c>
      <c r="C27" s="117"/>
      <c r="D27" s="117"/>
      <c r="E27" s="117"/>
      <c r="F27" s="117"/>
      <c r="G27" s="117"/>
      <c r="H27" s="117"/>
      <c r="I27" s="117"/>
      <c r="J27" s="117"/>
      <c r="K27" s="117"/>
    </row>
    <row r="28" spans="1:11" ht="39.75" customHeight="1" x14ac:dyDescent="0.25">
      <c r="A28" s="76" t="s">
        <v>180</v>
      </c>
      <c r="B28" s="117" t="s">
        <v>181</v>
      </c>
      <c r="C28" s="117"/>
      <c r="D28" s="117"/>
      <c r="E28" s="117"/>
      <c r="F28" s="117"/>
      <c r="G28" s="117"/>
      <c r="H28" s="117"/>
      <c r="I28" s="117"/>
      <c r="J28" s="117"/>
      <c r="K28" s="117"/>
    </row>
    <row r="29" spans="1:11" ht="39.75" customHeight="1" x14ac:dyDescent="0.25">
      <c r="A29" s="76" t="s">
        <v>182</v>
      </c>
      <c r="B29" s="117" t="s">
        <v>183</v>
      </c>
      <c r="C29" s="117"/>
      <c r="D29" s="117"/>
      <c r="E29" s="117"/>
      <c r="F29" s="117"/>
      <c r="G29" s="117"/>
      <c r="H29" s="117"/>
      <c r="I29" s="117"/>
      <c r="J29" s="117"/>
      <c r="K29" s="117"/>
    </row>
    <row r="30" spans="1:11" ht="39.75" customHeight="1" x14ac:dyDescent="0.25">
      <c r="A30" s="76" t="s">
        <v>184</v>
      </c>
      <c r="B30" s="117" t="s">
        <v>185</v>
      </c>
      <c r="C30" s="117"/>
      <c r="D30" s="117"/>
      <c r="E30" s="117"/>
      <c r="F30" s="117"/>
      <c r="G30" s="117"/>
      <c r="H30" s="117"/>
      <c r="I30" s="117"/>
      <c r="J30" s="117"/>
      <c r="K30" s="117"/>
    </row>
  </sheetData>
  <mergeCells count="10">
    <mergeCell ref="A1:K1"/>
    <mergeCell ref="A2:K2"/>
    <mergeCell ref="A3:K3"/>
    <mergeCell ref="A14:K14"/>
    <mergeCell ref="A25:K25"/>
    <mergeCell ref="B26:K26"/>
    <mergeCell ref="B27:K27"/>
    <mergeCell ref="B28:K28"/>
    <mergeCell ref="B29:K29"/>
    <mergeCell ref="B30:K30"/>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Normal="100" workbookViewId="0">
      <selection activeCell="I9" sqref="I9"/>
    </sheetView>
  </sheetViews>
  <sheetFormatPr defaultColWidth="8.7109375" defaultRowHeight="15" x14ac:dyDescent="0.25"/>
  <cols>
    <col min="1" max="1" width="32" customWidth="1"/>
    <col min="2" max="3" width="15" customWidth="1"/>
    <col min="4" max="4" width="12.28515625" bestFit="1" customWidth="1"/>
    <col min="5" max="5" width="16.7109375" customWidth="1"/>
    <col min="6" max="6" width="15" customWidth="1"/>
  </cols>
  <sheetData>
    <row r="1" spans="1:6" ht="31.5" customHeight="1" x14ac:dyDescent="0.25">
      <c r="A1" s="116" t="s">
        <v>186</v>
      </c>
      <c r="B1" s="116"/>
      <c r="C1" s="116"/>
      <c r="D1" s="116"/>
      <c r="E1" s="116"/>
      <c r="F1" s="116"/>
    </row>
    <row r="2" spans="1:6" x14ac:dyDescent="0.25">
      <c r="A2" s="113" t="s">
        <v>187</v>
      </c>
      <c r="B2" s="113"/>
      <c r="C2" s="113"/>
      <c r="D2" s="113"/>
      <c r="E2" s="113"/>
      <c r="F2" s="113"/>
    </row>
    <row r="3" spans="1:6" ht="19.5" customHeight="1" x14ac:dyDescent="0.25">
      <c r="A3" s="77" t="s">
        <v>188</v>
      </c>
      <c r="B3" s="78" t="s">
        <v>189</v>
      </c>
      <c r="C3" s="79" t="s">
        <v>190</v>
      </c>
      <c r="D3" s="80" t="s">
        <v>191</v>
      </c>
      <c r="E3" s="81" t="s">
        <v>192</v>
      </c>
      <c r="F3" s="82" t="s">
        <v>193</v>
      </c>
    </row>
    <row r="4" spans="1:6" ht="21.75" customHeight="1" x14ac:dyDescent="0.25">
      <c r="A4" s="119" t="s">
        <v>290</v>
      </c>
      <c r="B4" s="119"/>
      <c r="C4" s="119"/>
      <c r="D4" s="119"/>
      <c r="E4" s="119"/>
      <c r="F4" s="119"/>
    </row>
    <row r="5" spans="1:6" ht="15" customHeight="1" x14ac:dyDescent="0.25">
      <c r="A5" s="3" t="s">
        <v>194</v>
      </c>
      <c r="B5" s="83">
        <v>250</v>
      </c>
      <c r="C5" s="83">
        <v>350</v>
      </c>
      <c r="D5" s="83">
        <v>150</v>
      </c>
      <c r="E5" s="84">
        <v>203</v>
      </c>
      <c r="F5" s="6"/>
    </row>
    <row r="6" spans="1:6" ht="15" customHeight="1" x14ac:dyDescent="0.25">
      <c r="A6" s="3" t="s">
        <v>195</v>
      </c>
      <c r="B6" s="85">
        <v>155</v>
      </c>
      <c r="C6" s="85">
        <v>160</v>
      </c>
      <c r="D6" s="85">
        <v>145</v>
      </c>
      <c r="E6" s="86">
        <v>4</v>
      </c>
      <c r="F6" s="6"/>
    </row>
    <row r="7" spans="1:6" ht="15" customHeight="1" x14ac:dyDescent="0.25">
      <c r="A7" s="3" t="s">
        <v>196</v>
      </c>
      <c r="B7" s="87">
        <v>0.15</v>
      </c>
      <c r="C7" s="87">
        <v>0.15</v>
      </c>
      <c r="D7" s="87">
        <v>0.14000000000000001</v>
      </c>
      <c r="E7" s="88">
        <v>0</v>
      </c>
      <c r="F7" s="6"/>
    </row>
    <row r="8" spans="1:6" ht="15" customHeight="1" x14ac:dyDescent="0.25">
      <c r="A8" s="3" t="s">
        <v>197</v>
      </c>
      <c r="B8" s="83">
        <v>8</v>
      </c>
      <c r="C8" s="83">
        <v>12</v>
      </c>
      <c r="D8" s="83">
        <v>5</v>
      </c>
      <c r="E8" s="89">
        <v>5</v>
      </c>
      <c r="F8" s="6"/>
    </row>
    <row r="9" spans="1:6" ht="15" customHeight="1" x14ac:dyDescent="0.25">
      <c r="A9" s="3" t="s">
        <v>198</v>
      </c>
      <c r="B9" s="85">
        <v>26000</v>
      </c>
      <c r="C9" s="85">
        <v>32000</v>
      </c>
      <c r="D9" s="85">
        <v>22000</v>
      </c>
      <c r="E9" s="86">
        <v>21600</v>
      </c>
      <c r="F9" s="6"/>
    </row>
    <row r="10" spans="1:6" ht="15" customHeight="1" x14ac:dyDescent="0.25">
      <c r="A10" s="3" t="s">
        <v>199</v>
      </c>
      <c r="B10" s="83">
        <v>550</v>
      </c>
      <c r="C10" s="83">
        <v>800</v>
      </c>
      <c r="D10" s="83">
        <v>350</v>
      </c>
      <c r="E10" s="84">
        <v>350</v>
      </c>
      <c r="F10" s="6"/>
    </row>
    <row r="11" spans="1:6" ht="15" customHeight="1" x14ac:dyDescent="0.25">
      <c r="A11" s="3" t="s">
        <v>200</v>
      </c>
      <c r="B11" s="85">
        <v>199</v>
      </c>
      <c r="C11" s="85">
        <v>199</v>
      </c>
      <c r="D11" s="85">
        <v>179</v>
      </c>
      <c r="E11" s="86">
        <v>199</v>
      </c>
      <c r="F11" s="6"/>
    </row>
    <row r="12" spans="1:6" ht="15" customHeight="1" x14ac:dyDescent="0.25">
      <c r="A12" s="3" t="s">
        <v>201</v>
      </c>
      <c r="B12" s="85">
        <v>28000</v>
      </c>
      <c r="C12" s="85">
        <v>40000</v>
      </c>
      <c r="D12" s="85">
        <v>18000</v>
      </c>
      <c r="E12" s="86">
        <v>20000</v>
      </c>
      <c r="F12" s="6"/>
    </row>
    <row r="13" spans="1:6" ht="15" customHeight="1" x14ac:dyDescent="0.25">
      <c r="A13" s="3" t="s">
        <v>202</v>
      </c>
      <c r="B13" s="85">
        <v>45</v>
      </c>
      <c r="C13" s="85">
        <v>48</v>
      </c>
      <c r="D13" s="85">
        <v>42</v>
      </c>
      <c r="E13" s="86">
        <v>49</v>
      </c>
      <c r="F13" s="6"/>
    </row>
    <row r="14" spans="1:6" ht="15" customHeight="1" x14ac:dyDescent="0.25">
      <c r="A14" s="3" t="s">
        <v>203</v>
      </c>
      <c r="B14" s="85">
        <v>90000</v>
      </c>
      <c r="C14" s="85">
        <v>120000</v>
      </c>
      <c r="D14" s="85">
        <v>70000</v>
      </c>
      <c r="E14" s="86">
        <v>110000</v>
      </c>
      <c r="F14" s="6"/>
    </row>
    <row r="15" spans="1:6" x14ac:dyDescent="0.25">
      <c r="A15" s="3" t="s">
        <v>204</v>
      </c>
      <c r="B15" s="83">
        <v>26</v>
      </c>
      <c r="C15" s="83">
        <v>26</v>
      </c>
      <c r="D15" s="83">
        <v>24</v>
      </c>
      <c r="E15" s="89">
        <v>25</v>
      </c>
      <c r="F15" s="6"/>
    </row>
    <row r="16" spans="1:6" ht="6" customHeight="1" x14ac:dyDescent="0.25">
      <c r="A16" s="24"/>
      <c r="B16" s="24"/>
      <c r="C16" s="24"/>
      <c r="D16" s="24"/>
      <c r="E16" s="24"/>
      <c r="F16" s="24"/>
    </row>
    <row r="17" spans="1:6" ht="21.75" customHeight="1" x14ac:dyDescent="0.25">
      <c r="A17" s="114" t="s">
        <v>205</v>
      </c>
      <c r="B17" s="114"/>
      <c r="C17" s="114"/>
      <c r="D17" s="114"/>
      <c r="E17" s="114"/>
      <c r="F17" s="114"/>
    </row>
    <row r="18" spans="1:6" ht="13.5" customHeight="1" x14ac:dyDescent="0.25">
      <c r="A18" s="3" t="s">
        <v>206</v>
      </c>
      <c r="B18" s="4">
        <f>B5*B15</f>
        <v>6500</v>
      </c>
      <c r="C18" s="4">
        <f>C5*C15</f>
        <v>9100</v>
      </c>
      <c r="D18" s="4">
        <f>D5*D15</f>
        <v>3600</v>
      </c>
      <c r="E18" s="90">
        <f>E5*E15</f>
        <v>5075</v>
      </c>
      <c r="F18" s="6"/>
    </row>
    <row r="19" spans="1:6" ht="15.75" customHeight="1" x14ac:dyDescent="0.25">
      <c r="A19" s="17" t="s">
        <v>112</v>
      </c>
      <c r="B19" s="18">
        <f>IFERROR(B5*B15*B6*B7/1.18+B9*B10*0.9+B11*B12+B13,0)</f>
        <v>18570117.033898305</v>
      </c>
      <c r="C19" s="18">
        <f>IFERROR(C5*C15*C6*C7/1.18+C9*C10*0.9+C11*C12+C13,0)</f>
        <v>31185132.745762713</v>
      </c>
      <c r="D19" s="18">
        <f>IFERROR(D5*D15*D6*D7/1.18+D9*D10*0.9+D11*D12+D13,0)</f>
        <v>10213974.203389831</v>
      </c>
      <c r="E19" s="18">
        <f>IFERROR(E5*E15*E6*E7/1.18+E9*E10*0.9+E11*E12+E13,0)</f>
        <v>10784049</v>
      </c>
      <c r="F19" s="66">
        <f>IFERROR(B19-E19,0)</f>
        <v>7786068.0338983051</v>
      </c>
    </row>
    <row r="20" spans="1:6" ht="13.5" customHeight="1" x14ac:dyDescent="0.25">
      <c r="A20" s="3" t="s">
        <v>115</v>
      </c>
      <c r="B20" s="9">
        <f>IFERROR(B5*B15*B6*B7/1.18,0)</f>
        <v>128072.03389830509</v>
      </c>
      <c r="C20" s="9">
        <f>IFERROR(C5*C15*C6*C7/1.18,0)</f>
        <v>185084.74576271189</v>
      </c>
      <c r="D20" s="9">
        <f>IFERROR(D5*D15*D6*D7/1.18,0)</f>
        <v>61932.203389830509</v>
      </c>
      <c r="E20" s="91">
        <f>IFERROR(E5*E15*E6*E7/1.18,0)</f>
        <v>0</v>
      </c>
      <c r="F20" s="6"/>
    </row>
    <row r="21" spans="1:6" ht="13.5" customHeight="1" x14ac:dyDescent="0.25">
      <c r="A21" s="3" t="s">
        <v>207</v>
      </c>
      <c r="B21" s="9">
        <f>IFERROR(B9*B10*0.9,0)</f>
        <v>12870000</v>
      </c>
      <c r="C21" s="9">
        <f>IFERROR(C9*C10*0.9,0)</f>
        <v>23040000</v>
      </c>
      <c r="D21" s="9">
        <f>IFERROR(D9*D10*0.9,0)</f>
        <v>6930000</v>
      </c>
      <c r="E21" s="91">
        <f>IFERROR(E9*E10*0.9,0)</f>
        <v>6804000</v>
      </c>
      <c r="F21" s="6"/>
    </row>
    <row r="22" spans="1:6" ht="13.5" customHeight="1" x14ac:dyDescent="0.25">
      <c r="A22" s="3" t="s">
        <v>208</v>
      </c>
      <c r="B22" s="9">
        <f>IFERROR(B11*B12,0)</f>
        <v>5572000</v>
      </c>
      <c r="C22" s="9">
        <f>IFERROR(C11*C12,0)</f>
        <v>7960000</v>
      </c>
      <c r="D22" s="9">
        <f>IFERROR(D11*D12,0)</f>
        <v>3222000</v>
      </c>
      <c r="E22" s="91">
        <f>IFERROR(E11*E12,0)</f>
        <v>3980000</v>
      </c>
      <c r="F22" s="6"/>
    </row>
    <row r="23" spans="1:6" ht="13.5" customHeight="1" x14ac:dyDescent="0.25">
      <c r="A23" s="3" t="s">
        <v>209</v>
      </c>
      <c r="B23" s="9">
        <f>IFERROR(B13,0)</f>
        <v>45</v>
      </c>
      <c r="C23" s="9">
        <f>IFERROR(C13,0)</f>
        <v>48</v>
      </c>
      <c r="D23" s="9">
        <f>IFERROR(D13,0)</f>
        <v>42</v>
      </c>
      <c r="E23" s="91">
        <f>IFERROR(E13,0)</f>
        <v>49</v>
      </c>
      <c r="F23" s="6"/>
    </row>
    <row r="24" spans="1:6" ht="15.75" customHeight="1" x14ac:dyDescent="0.25">
      <c r="A24" s="17" t="s">
        <v>210</v>
      </c>
      <c r="B24" s="18">
        <f>IFERROR(B5*B15*(B14+3)+600*50,0)</f>
        <v>585049500</v>
      </c>
      <c r="C24" s="18">
        <f>IFERROR(C5*C15*(C14+3)+600*50,0)</f>
        <v>1092057300</v>
      </c>
      <c r="D24" s="18">
        <f>IFERROR(D5*D15*(D14+3)+600*50,0)</f>
        <v>252040800</v>
      </c>
      <c r="E24" s="18">
        <f>IFERROR(E5*E15*(E14+3)+600*50,0)</f>
        <v>558295225</v>
      </c>
      <c r="F24" s="66">
        <f>IFERROR(B24-E24,0)</f>
        <v>26754275</v>
      </c>
    </row>
    <row r="25" spans="1:6" ht="13.5" customHeight="1" x14ac:dyDescent="0.25">
      <c r="A25" s="3" t="s">
        <v>128</v>
      </c>
      <c r="B25" s="9">
        <f>IFERROR(B5*B15*B14,0)</f>
        <v>585000000</v>
      </c>
      <c r="C25" s="9">
        <f>IFERROR(C5*C15*C14,0)</f>
        <v>1092000000</v>
      </c>
      <c r="D25" s="9">
        <f>IFERROR(D5*D15*D14,0)</f>
        <v>252000000</v>
      </c>
      <c r="E25" s="91">
        <f>IFERROR(E5*E15*E14,0)</f>
        <v>558250000</v>
      </c>
      <c r="F25" s="6"/>
    </row>
    <row r="26" spans="1:6" ht="13.5" customHeight="1" x14ac:dyDescent="0.25">
      <c r="A26" s="3" t="s">
        <v>211</v>
      </c>
      <c r="B26" s="9">
        <f>IFERROR(B5*B15*3+600*50,0)</f>
        <v>49500</v>
      </c>
      <c r="C26" s="9">
        <f>IFERROR(C5*C15*3+600*50,0)</f>
        <v>57300</v>
      </c>
      <c r="D26" s="9">
        <f>IFERROR(D5*D15*3+600*50,0)</f>
        <v>40800</v>
      </c>
      <c r="E26" s="91">
        <f>IFERROR(E5*E15*3+600*50,0)</f>
        <v>45225</v>
      </c>
      <c r="F26" s="6"/>
    </row>
    <row r="27" spans="1:6" ht="15.75" customHeight="1" x14ac:dyDescent="0.25">
      <c r="A27" s="17" t="s">
        <v>132</v>
      </c>
      <c r="B27" s="18">
        <f>IFERROR(B25-B24,0)</f>
        <v>-49500</v>
      </c>
      <c r="C27" s="18">
        <f>IFERROR(C25-C24,0)</f>
        <v>-57300</v>
      </c>
      <c r="D27" s="18">
        <f>IFERROR(D25-D24,0)</f>
        <v>-40800</v>
      </c>
      <c r="E27" s="18">
        <f>IFERROR(E25-E24,0)</f>
        <v>-45225</v>
      </c>
      <c r="F27" s="66">
        <f>IFERROR(B27-E27,0)</f>
        <v>-4275</v>
      </c>
    </row>
    <row r="28" spans="1:6" ht="15.75" customHeight="1" x14ac:dyDescent="0.25">
      <c r="A28" s="17" t="s">
        <v>134</v>
      </c>
      <c r="B28" s="18">
        <f>IFERROR(275000+B5*60+B20,0)</f>
        <v>418072.03389830509</v>
      </c>
      <c r="C28" s="18">
        <f>IFERROR(275000+C5*60+C20,0)</f>
        <v>481084.74576271186</v>
      </c>
      <c r="D28" s="18">
        <f>IFERROR(275000+D5*60+D20,0)</f>
        <v>345932.20338983054</v>
      </c>
      <c r="E28" s="18">
        <f>IFERROR(275000+E5*60+E20,0)</f>
        <v>287180</v>
      </c>
      <c r="F28" s="66">
        <f>IFERROR(B28-E28,0)</f>
        <v>130892.03389830509</v>
      </c>
    </row>
    <row r="29" spans="1:6" ht="13.5" customHeight="1" x14ac:dyDescent="0.25">
      <c r="A29" s="3" t="s">
        <v>212</v>
      </c>
      <c r="B29" s="9">
        <f>275000</f>
        <v>275000</v>
      </c>
      <c r="C29" s="9">
        <f>275000</f>
        <v>275000</v>
      </c>
      <c r="D29" s="9">
        <f>275000</f>
        <v>275000</v>
      </c>
      <c r="E29" s="91">
        <f>275000</f>
        <v>275000</v>
      </c>
      <c r="F29" s="6"/>
    </row>
    <row r="30" spans="1:6" ht="13.5" customHeight="1" x14ac:dyDescent="0.25">
      <c r="A30" s="3" t="s">
        <v>213</v>
      </c>
      <c r="B30" s="9">
        <f>IFERROR(B5*60,0)</f>
        <v>15000</v>
      </c>
      <c r="C30" s="9">
        <f>IFERROR(C5*60,0)</f>
        <v>21000</v>
      </c>
      <c r="D30" s="9">
        <f>IFERROR(D5*60,0)</f>
        <v>9000</v>
      </c>
      <c r="E30" s="91">
        <f>IFERROR(E5*60,0)</f>
        <v>12180</v>
      </c>
      <c r="F30" s="6"/>
    </row>
    <row r="31" spans="1:6" ht="13.5" customHeight="1" x14ac:dyDescent="0.25">
      <c r="A31" s="3" t="s">
        <v>214</v>
      </c>
      <c r="B31" s="9">
        <f>IFERROR(B20,0)</f>
        <v>128072.03389830509</v>
      </c>
      <c r="C31" s="9">
        <f>IFERROR(C20,0)</f>
        <v>185084.74576271189</v>
      </c>
      <c r="D31" s="9">
        <f>IFERROR(D20,0)</f>
        <v>61932.203389830509</v>
      </c>
      <c r="E31" s="91">
        <f>IFERROR(E20,0)</f>
        <v>0</v>
      </c>
      <c r="F31" s="6"/>
    </row>
    <row r="32" spans="1:6" ht="13.5" customHeight="1" x14ac:dyDescent="0.25">
      <c r="A32" s="3" t="s">
        <v>215</v>
      </c>
      <c r="B32" s="9">
        <f>75000</f>
        <v>75000</v>
      </c>
      <c r="C32" s="9">
        <f>75000</f>
        <v>75000</v>
      </c>
      <c r="D32" s="9">
        <f>75000</f>
        <v>75000</v>
      </c>
      <c r="E32" s="91">
        <f>75000</f>
        <v>75000</v>
      </c>
      <c r="F32" s="6"/>
    </row>
    <row r="33" spans="1:6" ht="15.75" customHeight="1" x14ac:dyDescent="0.25">
      <c r="A33" s="17" t="s">
        <v>144</v>
      </c>
      <c r="B33" s="18">
        <f>B27-B28</f>
        <v>-467572.03389830509</v>
      </c>
      <c r="C33" s="18">
        <f>C27-C28</f>
        <v>-538384.74576271186</v>
      </c>
      <c r="D33" s="18">
        <f>D27-D28</f>
        <v>-386732.20338983054</v>
      </c>
      <c r="E33" s="18">
        <f>E27-E28</f>
        <v>-332405</v>
      </c>
      <c r="F33" s="66">
        <f>IFERROR(B33-E33,0)</f>
        <v>-135167.03389830509</v>
      </c>
    </row>
    <row r="34" spans="1:6" ht="13.5" customHeight="1" x14ac:dyDescent="0.25">
      <c r="A34" s="3" t="s">
        <v>40</v>
      </c>
      <c r="B34" s="9">
        <f>16000</f>
        <v>16000</v>
      </c>
      <c r="C34" s="9">
        <f>16000</f>
        <v>16000</v>
      </c>
      <c r="D34" s="9">
        <f>16000</f>
        <v>16000</v>
      </c>
      <c r="E34" s="91">
        <f>16000</f>
        <v>16000</v>
      </c>
      <c r="F34" s="6"/>
    </row>
    <row r="35" spans="1:6" ht="15.75" customHeight="1" x14ac:dyDescent="0.25">
      <c r="A35" s="17" t="s">
        <v>146</v>
      </c>
      <c r="B35" s="18">
        <f>B33-B34</f>
        <v>-483572.03389830509</v>
      </c>
      <c r="C35" s="18">
        <f>C33-C34</f>
        <v>-554384.74576271186</v>
      </c>
      <c r="D35" s="18">
        <f>D33-D34</f>
        <v>-402732.20338983054</v>
      </c>
      <c r="E35" s="18">
        <f>E33-E34</f>
        <v>-348405</v>
      </c>
      <c r="F35" s="66">
        <f>IFERROR(B35-E35,0)</f>
        <v>-135167.03389830509</v>
      </c>
    </row>
    <row r="36" spans="1:6" ht="6" customHeight="1" x14ac:dyDescent="0.25">
      <c r="A36" s="24"/>
      <c r="B36" s="24"/>
      <c r="C36" s="24"/>
      <c r="D36" s="24"/>
      <c r="E36" s="24"/>
      <c r="F36" s="24"/>
    </row>
    <row r="37" spans="1:6" ht="21.75" customHeight="1" x14ac:dyDescent="0.25">
      <c r="A37" s="119" t="s">
        <v>216</v>
      </c>
      <c r="B37" s="119"/>
      <c r="C37" s="119"/>
      <c r="D37" s="119"/>
      <c r="E37" s="119"/>
      <c r="F37" s="119"/>
    </row>
    <row r="38" spans="1:6" ht="37.5" customHeight="1" x14ac:dyDescent="0.25">
      <c r="A38" s="92" t="s">
        <v>217</v>
      </c>
      <c r="B38" s="117" t="s">
        <v>218</v>
      </c>
      <c r="C38" s="117"/>
      <c r="D38" s="117"/>
      <c r="E38" s="117"/>
      <c r="F38" s="117"/>
    </row>
    <row r="39" spans="1:6" ht="37.5" customHeight="1" x14ac:dyDescent="0.25">
      <c r="A39" s="93" t="s">
        <v>219</v>
      </c>
      <c r="B39" s="117" t="s">
        <v>220</v>
      </c>
      <c r="C39" s="117"/>
      <c r="D39" s="117"/>
      <c r="E39" s="117"/>
      <c r="F39" s="117"/>
    </row>
    <row r="40" spans="1:6" ht="37.5" customHeight="1" x14ac:dyDescent="0.25">
      <c r="A40" s="94" t="s">
        <v>221</v>
      </c>
      <c r="B40" s="117" t="s">
        <v>222</v>
      </c>
      <c r="C40" s="117"/>
      <c r="D40" s="117"/>
      <c r="E40" s="117"/>
      <c r="F40" s="117"/>
    </row>
    <row r="41" spans="1:6" ht="37.5" customHeight="1" x14ac:dyDescent="0.25">
      <c r="A41" s="95" t="s">
        <v>223</v>
      </c>
      <c r="B41" s="117" t="s">
        <v>224</v>
      </c>
      <c r="C41" s="117"/>
      <c r="D41" s="117"/>
      <c r="E41" s="117"/>
      <c r="F41" s="117"/>
    </row>
  </sheetData>
  <mergeCells count="9">
    <mergeCell ref="B38:F38"/>
    <mergeCell ref="B39:F39"/>
    <mergeCell ref="B40:F40"/>
    <mergeCell ref="B41:F41"/>
    <mergeCell ref="A1:F1"/>
    <mergeCell ref="A2:F2"/>
    <mergeCell ref="A4:F4"/>
    <mergeCell ref="A17:F17"/>
    <mergeCell ref="A37:F37"/>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activeCell="B23" sqref="B23"/>
    </sheetView>
  </sheetViews>
  <sheetFormatPr defaultColWidth="8.7109375" defaultRowHeight="15" x14ac:dyDescent="0.25"/>
  <cols>
    <col min="1" max="1" width="28" customWidth="1"/>
    <col min="2" max="4" width="13" customWidth="1"/>
    <col min="5" max="5" width="14" customWidth="1"/>
    <col min="6" max="6" width="2" customWidth="1"/>
    <col min="7" max="9" width="13" customWidth="1"/>
    <col min="10" max="10" width="14" customWidth="1"/>
  </cols>
  <sheetData>
    <row r="1" spans="1:10" ht="31.5" customHeight="1" x14ac:dyDescent="0.25">
      <c r="A1" s="116" t="s">
        <v>225</v>
      </c>
      <c r="B1" s="116"/>
      <c r="C1" s="116"/>
      <c r="D1" s="116"/>
      <c r="E1" s="116"/>
      <c r="F1" s="116"/>
      <c r="G1" s="116"/>
      <c r="H1" s="116"/>
      <c r="I1" s="116"/>
      <c r="J1" s="116"/>
    </row>
    <row r="2" spans="1:10" x14ac:dyDescent="0.25">
      <c r="A2" s="113" t="s">
        <v>226</v>
      </c>
      <c r="B2" s="113"/>
      <c r="C2" s="113"/>
      <c r="D2" s="113"/>
      <c r="E2" s="113"/>
      <c r="F2" s="113"/>
      <c r="G2" s="113"/>
      <c r="H2" s="113"/>
      <c r="I2" s="113"/>
      <c r="J2" s="113"/>
    </row>
    <row r="3" spans="1:10" ht="18" customHeight="1" x14ac:dyDescent="0.25">
      <c r="A3" s="55" t="s">
        <v>227</v>
      </c>
      <c r="B3" s="52" t="s">
        <v>228</v>
      </c>
      <c r="C3" s="52" t="s">
        <v>229</v>
      </c>
      <c r="D3" s="52" t="s">
        <v>230</v>
      </c>
      <c r="E3" s="53" t="s">
        <v>231</v>
      </c>
      <c r="F3" s="2"/>
      <c r="G3" s="40" t="s">
        <v>232</v>
      </c>
      <c r="H3" s="40" t="s">
        <v>233</v>
      </c>
      <c r="I3" s="40" t="s">
        <v>234</v>
      </c>
      <c r="J3" s="54" t="s">
        <v>235</v>
      </c>
    </row>
    <row r="4" spans="1:10" ht="15" customHeight="1" x14ac:dyDescent="0.25">
      <c r="A4" s="96" t="s">
        <v>236</v>
      </c>
      <c r="B4" s="97"/>
      <c r="C4" s="97"/>
      <c r="D4" s="97"/>
      <c r="E4" s="97"/>
      <c r="F4" s="6"/>
      <c r="G4" s="97"/>
      <c r="H4" s="97"/>
      <c r="I4" s="97"/>
      <c r="J4" s="97"/>
    </row>
    <row r="5" spans="1:10" ht="15" customHeight="1" x14ac:dyDescent="0.25">
      <c r="A5" s="56" t="s">
        <v>9</v>
      </c>
      <c r="B5" s="83">
        <v>4680</v>
      </c>
      <c r="C5" s="83">
        <v>4800</v>
      </c>
      <c r="D5" s="83">
        <v>5980</v>
      </c>
      <c r="E5" s="58">
        <f>SUM(B5:D5)</f>
        <v>15460</v>
      </c>
      <c r="F5" s="6"/>
      <c r="G5" s="98">
        <v>5460</v>
      </c>
      <c r="H5" s="98">
        <v>5760</v>
      </c>
      <c r="I5" s="98">
        <v>7020</v>
      </c>
      <c r="J5" s="58">
        <f>SUM(G5:I5)</f>
        <v>18240</v>
      </c>
    </row>
    <row r="6" spans="1:10" ht="15" customHeight="1" x14ac:dyDescent="0.25">
      <c r="A6" s="96" t="s">
        <v>237</v>
      </c>
      <c r="B6" s="97"/>
      <c r="C6" s="97"/>
      <c r="D6" s="97"/>
      <c r="E6" s="97"/>
      <c r="F6" s="6"/>
      <c r="G6" s="97"/>
      <c r="H6" s="97"/>
      <c r="I6" s="97"/>
      <c r="J6" s="97"/>
    </row>
    <row r="7" spans="1:10" ht="15" customHeight="1" x14ac:dyDescent="0.25">
      <c r="A7" s="56" t="s">
        <v>238</v>
      </c>
      <c r="B7" s="85">
        <v>19655</v>
      </c>
      <c r="C7" s="85">
        <v>21739</v>
      </c>
      <c r="D7" s="85">
        <v>25000</v>
      </c>
      <c r="E7" s="99">
        <f>SUM(B7:D7)</f>
        <v>66394</v>
      </c>
      <c r="F7" s="6"/>
      <c r="G7" s="100">
        <v>23049</v>
      </c>
      <c r="H7" s="100">
        <v>25862</v>
      </c>
      <c r="I7" s="100">
        <v>29730</v>
      </c>
      <c r="J7" s="99">
        <f>SUM(G7:I7)</f>
        <v>78641</v>
      </c>
    </row>
    <row r="8" spans="1:10" ht="15" customHeight="1" x14ac:dyDescent="0.25">
      <c r="A8" s="56" t="s">
        <v>239</v>
      </c>
      <c r="B8" s="85">
        <v>0</v>
      </c>
      <c r="C8" s="85">
        <v>3840</v>
      </c>
      <c r="D8" s="85">
        <v>7680</v>
      </c>
      <c r="E8" s="99">
        <f>SUM(B8:D8)</f>
        <v>11520</v>
      </c>
      <c r="F8" s="6"/>
      <c r="G8" s="100">
        <v>0</v>
      </c>
      <c r="H8" s="100">
        <v>5760</v>
      </c>
      <c r="I8" s="100">
        <v>11520</v>
      </c>
      <c r="J8" s="99">
        <f>SUM(G8:I8)</f>
        <v>17280</v>
      </c>
    </row>
    <row r="9" spans="1:10" ht="15" customHeight="1" x14ac:dyDescent="0.25">
      <c r="A9" s="56" t="s">
        <v>240</v>
      </c>
      <c r="B9" s="85">
        <v>86400</v>
      </c>
      <c r="C9" s="85">
        <v>108000</v>
      </c>
      <c r="D9" s="85">
        <v>129600</v>
      </c>
      <c r="E9" s="99">
        <f>SUM(B9:D9)</f>
        <v>324000</v>
      </c>
      <c r="F9" s="6"/>
      <c r="G9" s="100">
        <v>108000</v>
      </c>
      <c r="H9" s="100">
        <v>129600</v>
      </c>
      <c r="I9" s="100">
        <v>172800</v>
      </c>
      <c r="J9" s="99">
        <f>SUM(G9:I9)</f>
        <v>410400</v>
      </c>
    </row>
    <row r="10" spans="1:10" ht="15" customHeight="1" x14ac:dyDescent="0.25">
      <c r="A10" s="56" t="s">
        <v>241</v>
      </c>
      <c r="B10" s="85">
        <v>55720</v>
      </c>
      <c r="C10" s="85">
        <v>69650</v>
      </c>
      <c r="D10" s="85">
        <v>83580</v>
      </c>
      <c r="E10" s="99">
        <f>SUM(B10:D10)</f>
        <v>208950</v>
      </c>
      <c r="F10" s="6"/>
      <c r="G10" s="100">
        <v>69650</v>
      </c>
      <c r="H10" s="100">
        <v>89550</v>
      </c>
      <c r="I10" s="100">
        <v>109450</v>
      </c>
      <c r="J10" s="99">
        <f>SUM(G10:I10)</f>
        <v>268650</v>
      </c>
    </row>
    <row r="11" spans="1:10" ht="15" customHeight="1" x14ac:dyDescent="0.25">
      <c r="A11" s="56" t="s">
        <v>242</v>
      </c>
      <c r="B11" s="85">
        <v>18000</v>
      </c>
      <c r="C11" s="85">
        <v>20000</v>
      </c>
      <c r="D11" s="85">
        <v>22000</v>
      </c>
      <c r="E11" s="99">
        <f>SUM(B11:D11)</f>
        <v>60000</v>
      </c>
      <c r="F11" s="6"/>
      <c r="G11" s="100">
        <v>25000</v>
      </c>
      <c r="H11" s="100">
        <v>28000</v>
      </c>
      <c r="I11" s="100">
        <v>32000</v>
      </c>
      <c r="J11" s="99">
        <f>SUM(G11:I11)</f>
        <v>85000</v>
      </c>
    </row>
    <row r="12" spans="1:10" ht="15" customHeight="1" x14ac:dyDescent="0.25">
      <c r="A12" s="96" t="s">
        <v>243</v>
      </c>
      <c r="B12" s="97"/>
      <c r="C12" s="97"/>
      <c r="D12" s="97"/>
      <c r="E12" s="97"/>
      <c r="F12" s="6"/>
      <c r="G12" s="97"/>
      <c r="H12" s="97"/>
      <c r="I12" s="97"/>
      <c r="J12" s="97"/>
    </row>
    <row r="13" spans="1:10" ht="15" customHeight="1" x14ac:dyDescent="0.25">
      <c r="A13" s="56" t="s">
        <v>34</v>
      </c>
      <c r="B13" s="85">
        <v>234000</v>
      </c>
      <c r="C13" s="85">
        <v>240000</v>
      </c>
      <c r="D13" s="85">
        <v>276960</v>
      </c>
      <c r="E13" s="99">
        <f>SUM(B13:D13)</f>
        <v>750960</v>
      </c>
      <c r="F13" s="6"/>
      <c r="G13" s="100">
        <v>273000</v>
      </c>
      <c r="H13" s="100">
        <v>288000</v>
      </c>
      <c r="I13" s="100">
        <v>324000</v>
      </c>
      <c r="J13" s="99">
        <f>SUM(G13:I13)</f>
        <v>885000</v>
      </c>
    </row>
    <row r="14" spans="1:10" ht="15" customHeight="1" x14ac:dyDescent="0.25">
      <c r="A14" s="56" t="s">
        <v>244</v>
      </c>
      <c r="B14" s="85">
        <v>14040</v>
      </c>
      <c r="C14" s="85">
        <v>14400</v>
      </c>
      <c r="D14" s="85">
        <v>17940</v>
      </c>
      <c r="E14" s="99">
        <f>SUM(B14:D14)</f>
        <v>46380</v>
      </c>
      <c r="F14" s="6"/>
      <c r="G14" s="100">
        <v>16380</v>
      </c>
      <c r="H14" s="100">
        <v>17280</v>
      </c>
      <c r="I14" s="100">
        <v>19440</v>
      </c>
      <c r="J14" s="99">
        <f>SUM(G14:I14)</f>
        <v>53100</v>
      </c>
    </row>
    <row r="15" spans="1:10" ht="15" customHeight="1" x14ac:dyDescent="0.25">
      <c r="A15" s="56" t="s">
        <v>245</v>
      </c>
      <c r="B15" s="85">
        <v>30000</v>
      </c>
      <c r="C15" s="85">
        <v>37500</v>
      </c>
      <c r="D15" s="85">
        <v>36000</v>
      </c>
      <c r="E15" s="99">
        <f>SUM(B15:D15)</f>
        <v>103500</v>
      </c>
      <c r="F15" s="6"/>
      <c r="G15" s="100">
        <v>35000</v>
      </c>
      <c r="H15" s="100">
        <v>42500</v>
      </c>
      <c r="I15" s="100">
        <v>50000</v>
      </c>
      <c r="J15" s="99">
        <f>SUM(G15:I15)</f>
        <v>127500</v>
      </c>
    </row>
    <row r="16" spans="1:10" ht="15" customHeight="1" x14ac:dyDescent="0.25">
      <c r="A16" s="96" t="s">
        <v>246</v>
      </c>
      <c r="B16" s="97"/>
      <c r="C16" s="97"/>
      <c r="D16" s="97"/>
      <c r="E16" s="97"/>
      <c r="F16" s="6"/>
      <c r="G16" s="97"/>
      <c r="H16" s="97"/>
      <c r="I16" s="97"/>
      <c r="J16" s="97"/>
    </row>
    <row r="17" spans="1:10" ht="15" customHeight="1" x14ac:dyDescent="0.25">
      <c r="A17" s="56" t="s">
        <v>247</v>
      </c>
      <c r="B17" s="85">
        <v>120000</v>
      </c>
      <c r="C17" s="85">
        <v>120000</v>
      </c>
      <c r="D17" s="85">
        <v>120000</v>
      </c>
      <c r="E17" s="99">
        <f t="shared" ref="E17:E27" si="0">SUM(B17:D17)</f>
        <v>360000</v>
      </c>
      <c r="F17" s="6"/>
      <c r="G17" s="100">
        <v>120000</v>
      </c>
      <c r="H17" s="100">
        <v>120000</v>
      </c>
      <c r="I17" s="100">
        <v>120000</v>
      </c>
      <c r="J17" s="99">
        <f t="shared" ref="J17:J27" si="1">SUM(G17:I17)</f>
        <v>360000</v>
      </c>
    </row>
    <row r="18" spans="1:10" ht="15" customHeight="1" x14ac:dyDescent="0.25">
      <c r="A18" s="56" t="s">
        <v>248</v>
      </c>
      <c r="B18" s="85">
        <v>80000</v>
      </c>
      <c r="C18" s="85">
        <v>80000</v>
      </c>
      <c r="D18" s="85">
        <v>80000</v>
      </c>
      <c r="E18" s="99">
        <f t="shared" si="0"/>
        <v>240000</v>
      </c>
      <c r="F18" s="6"/>
      <c r="G18" s="100">
        <v>80000</v>
      </c>
      <c r="H18" s="100">
        <v>80000</v>
      </c>
      <c r="I18" s="100">
        <v>80000</v>
      </c>
      <c r="J18" s="99">
        <f t="shared" si="1"/>
        <v>240000</v>
      </c>
    </row>
    <row r="19" spans="1:10" ht="15" customHeight="1" x14ac:dyDescent="0.25">
      <c r="A19" s="56" t="s">
        <v>249</v>
      </c>
      <c r="B19" s="85">
        <v>60000</v>
      </c>
      <c r="C19" s="85">
        <v>60000</v>
      </c>
      <c r="D19" s="85">
        <v>75000</v>
      </c>
      <c r="E19" s="99">
        <f t="shared" si="0"/>
        <v>195000</v>
      </c>
      <c r="F19" s="6"/>
      <c r="G19" s="100">
        <v>60000</v>
      </c>
      <c r="H19" s="100">
        <v>60000</v>
      </c>
      <c r="I19" s="100">
        <v>60000</v>
      </c>
      <c r="J19" s="99">
        <f t="shared" si="1"/>
        <v>180000</v>
      </c>
    </row>
    <row r="20" spans="1:10" ht="15" customHeight="1" x14ac:dyDescent="0.25">
      <c r="A20" s="56" t="s">
        <v>250</v>
      </c>
      <c r="B20" s="85">
        <v>35000</v>
      </c>
      <c r="C20" s="85">
        <v>38000</v>
      </c>
      <c r="D20" s="85">
        <v>42000</v>
      </c>
      <c r="E20" s="99">
        <f t="shared" si="0"/>
        <v>115000</v>
      </c>
      <c r="F20" s="6"/>
      <c r="G20" s="100">
        <v>30000</v>
      </c>
      <c r="H20" s="100">
        <v>30000</v>
      </c>
      <c r="I20" s="100">
        <v>30000</v>
      </c>
      <c r="J20" s="99">
        <f t="shared" si="1"/>
        <v>90000</v>
      </c>
    </row>
    <row r="21" spans="1:10" ht="15" customHeight="1" x14ac:dyDescent="0.25">
      <c r="A21" s="56" t="s">
        <v>251</v>
      </c>
      <c r="B21" s="85">
        <v>25000</v>
      </c>
      <c r="C21" s="85">
        <v>25000</v>
      </c>
      <c r="D21" s="85">
        <v>25000</v>
      </c>
      <c r="E21" s="99">
        <f t="shared" si="0"/>
        <v>75000</v>
      </c>
      <c r="F21" s="6"/>
      <c r="G21" s="100">
        <v>25000</v>
      </c>
      <c r="H21" s="100">
        <v>25000</v>
      </c>
      <c r="I21" s="100">
        <v>25000</v>
      </c>
      <c r="J21" s="99">
        <f t="shared" si="1"/>
        <v>75000</v>
      </c>
    </row>
    <row r="22" spans="1:10" ht="15" customHeight="1" x14ac:dyDescent="0.25">
      <c r="A22" s="56" t="s">
        <v>252</v>
      </c>
      <c r="B22" s="85">
        <v>80000</v>
      </c>
      <c r="C22" s="85">
        <v>90000</v>
      </c>
      <c r="D22" s="85">
        <v>100000</v>
      </c>
      <c r="E22" s="99">
        <f t="shared" si="0"/>
        <v>270000</v>
      </c>
      <c r="F22" s="6"/>
      <c r="G22" s="100">
        <v>70000</v>
      </c>
      <c r="H22" s="100">
        <v>75000</v>
      </c>
      <c r="I22" s="100">
        <v>80000</v>
      </c>
      <c r="J22" s="99">
        <f t="shared" si="1"/>
        <v>225000</v>
      </c>
    </row>
    <row r="23" spans="1:10" ht="15" customHeight="1" x14ac:dyDescent="0.25">
      <c r="A23" s="56" t="s">
        <v>253</v>
      </c>
      <c r="B23" s="85">
        <v>15000</v>
      </c>
      <c r="C23" s="85">
        <v>20000</v>
      </c>
      <c r="D23" s="85">
        <v>25000</v>
      </c>
      <c r="E23" s="99">
        <f t="shared" si="0"/>
        <v>60000</v>
      </c>
      <c r="F23" s="6"/>
      <c r="G23" s="100">
        <v>10000</v>
      </c>
      <c r="H23" s="100">
        <v>12000</v>
      </c>
      <c r="I23" s="100">
        <v>15000</v>
      </c>
      <c r="J23" s="99">
        <f t="shared" si="1"/>
        <v>37000</v>
      </c>
    </row>
    <row r="24" spans="1:10" ht="15" customHeight="1" x14ac:dyDescent="0.25">
      <c r="A24" s="56" t="s">
        <v>254</v>
      </c>
      <c r="B24" s="85">
        <v>20000</v>
      </c>
      <c r="C24" s="85">
        <v>20000</v>
      </c>
      <c r="D24" s="85">
        <v>22000</v>
      </c>
      <c r="E24" s="99">
        <f t="shared" si="0"/>
        <v>62000</v>
      </c>
      <c r="F24" s="6"/>
      <c r="G24" s="100">
        <v>18000</v>
      </c>
      <c r="H24" s="100">
        <v>18000</v>
      </c>
      <c r="I24" s="100">
        <v>18000</v>
      </c>
      <c r="J24" s="99">
        <f t="shared" si="1"/>
        <v>54000</v>
      </c>
    </row>
    <row r="25" spans="1:10" ht="15" customHeight="1" x14ac:dyDescent="0.25">
      <c r="A25" s="56" t="s">
        <v>255</v>
      </c>
      <c r="B25" s="85">
        <v>15000</v>
      </c>
      <c r="C25" s="85">
        <v>15000</v>
      </c>
      <c r="D25" s="85">
        <v>15000</v>
      </c>
      <c r="E25" s="99">
        <f t="shared" si="0"/>
        <v>45000</v>
      </c>
      <c r="F25" s="6"/>
      <c r="G25" s="100">
        <v>15000</v>
      </c>
      <c r="H25" s="100">
        <v>15000</v>
      </c>
      <c r="I25" s="100">
        <v>15000</v>
      </c>
      <c r="J25" s="99">
        <f t="shared" si="1"/>
        <v>45000</v>
      </c>
    </row>
    <row r="26" spans="1:10" ht="15" customHeight="1" x14ac:dyDescent="0.25">
      <c r="A26" s="56" t="s">
        <v>256</v>
      </c>
      <c r="B26" s="85">
        <v>8000</v>
      </c>
      <c r="C26" s="85">
        <v>8000</v>
      </c>
      <c r="D26" s="85">
        <v>8000</v>
      </c>
      <c r="E26" s="99">
        <f t="shared" si="0"/>
        <v>24000</v>
      </c>
      <c r="F26" s="6"/>
      <c r="G26" s="100">
        <v>8000</v>
      </c>
      <c r="H26" s="100">
        <v>8000</v>
      </c>
      <c r="I26" s="100">
        <v>8000</v>
      </c>
      <c r="J26" s="99">
        <f t="shared" si="1"/>
        <v>24000</v>
      </c>
    </row>
    <row r="27" spans="1:10" ht="15" customHeight="1" x14ac:dyDescent="0.25">
      <c r="A27" s="56" t="s">
        <v>257</v>
      </c>
      <c r="B27" s="85">
        <v>5000</v>
      </c>
      <c r="C27" s="85">
        <v>5000</v>
      </c>
      <c r="D27" s="85">
        <v>5000</v>
      </c>
      <c r="E27" s="99">
        <f t="shared" si="0"/>
        <v>15000</v>
      </c>
      <c r="F27" s="6"/>
      <c r="G27" s="100">
        <v>5000</v>
      </c>
      <c r="H27" s="100">
        <v>5000</v>
      </c>
      <c r="I27" s="100">
        <v>5000</v>
      </c>
      <c r="J27" s="99">
        <f t="shared" si="1"/>
        <v>15000</v>
      </c>
    </row>
    <row r="28" spans="1:10" ht="15" customHeight="1" x14ac:dyDescent="0.25">
      <c r="A28" s="96" t="s">
        <v>258</v>
      </c>
      <c r="B28" s="97"/>
      <c r="C28" s="97"/>
      <c r="D28" s="97"/>
      <c r="E28" s="97"/>
      <c r="F28" s="6"/>
      <c r="G28" s="97"/>
      <c r="H28" s="97"/>
      <c r="I28" s="97"/>
      <c r="J28" s="97"/>
    </row>
    <row r="29" spans="1:10" ht="15" customHeight="1" x14ac:dyDescent="0.25">
      <c r="A29" s="56" t="s">
        <v>259</v>
      </c>
      <c r="B29" s="85">
        <v>3500</v>
      </c>
      <c r="C29" s="85">
        <v>3500</v>
      </c>
      <c r="D29" s="85">
        <v>3500</v>
      </c>
      <c r="E29" s="99">
        <f>SUM(B29:D29)</f>
        <v>10500</v>
      </c>
      <c r="F29" s="6"/>
      <c r="G29" s="100">
        <v>3500</v>
      </c>
      <c r="H29" s="100">
        <v>3500</v>
      </c>
      <c r="I29" s="100">
        <v>3500</v>
      </c>
      <c r="J29" s="99">
        <f>SUM(G29:I29)</f>
        <v>10500</v>
      </c>
    </row>
    <row r="30" spans="1:10" ht="15" customHeight="1" x14ac:dyDescent="0.25">
      <c r="A30" s="56" t="s">
        <v>260</v>
      </c>
      <c r="B30" s="85">
        <v>12500</v>
      </c>
      <c r="C30" s="85">
        <v>12500</v>
      </c>
      <c r="D30" s="85">
        <v>12500</v>
      </c>
      <c r="E30" s="99">
        <f>SUM(B30:D30)</f>
        <v>37500</v>
      </c>
      <c r="F30" s="6"/>
      <c r="G30" s="100">
        <v>12500</v>
      </c>
      <c r="H30" s="100">
        <v>12500</v>
      </c>
      <c r="I30" s="100">
        <v>12500</v>
      </c>
      <c r="J30" s="99">
        <f>SUM(G30:I30)</f>
        <v>37500</v>
      </c>
    </row>
  </sheetData>
  <mergeCells count="2">
    <mergeCell ref="A1:J1"/>
    <mergeCell ref="A2:J2"/>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zoomScaleNormal="100" workbookViewId="0">
      <selection activeCell="K7" sqref="K7"/>
    </sheetView>
  </sheetViews>
  <sheetFormatPr defaultColWidth="8.7109375" defaultRowHeight="15" x14ac:dyDescent="0.25"/>
  <cols>
    <col min="1" max="1" width="4" customWidth="1"/>
    <col min="2" max="2" width="30" customWidth="1"/>
    <col min="3" max="3" width="52" customWidth="1"/>
    <col min="4" max="4" width="16" customWidth="1"/>
  </cols>
  <sheetData>
    <row r="1" spans="1:4" ht="36" customHeight="1" x14ac:dyDescent="0.25">
      <c r="A1" s="102" t="s">
        <v>261</v>
      </c>
      <c r="B1" s="102"/>
      <c r="C1" s="102"/>
      <c r="D1" s="102"/>
    </row>
    <row r="2" spans="1:4" x14ac:dyDescent="0.25">
      <c r="A2" s="113"/>
      <c r="B2" s="113"/>
      <c r="C2" s="113"/>
      <c r="D2" s="113"/>
    </row>
    <row r="3" spans="1:4" ht="21.75" customHeight="1" x14ac:dyDescent="0.25">
      <c r="A3" s="103" t="s">
        <v>262</v>
      </c>
      <c r="B3" s="103"/>
      <c r="C3" s="103"/>
      <c r="D3" s="103"/>
    </row>
    <row r="4" spans="1:4" ht="49.5" customHeight="1" x14ac:dyDescent="0.25">
      <c r="A4" s="6"/>
      <c r="B4" s="33" t="s">
        <v>263</v>
      </c>
      <c r="C4" s="125" t="s">
        <v>264</v>
      </c>
      <c r="D4" s="125"/>
    </row>
    <row r="5" spans="1:4" ht="49.5" customHeight="1" x14ac:dyDescent="0.25">
      <c r="A5" s="6"/>
      <c r="B5" s="33" t="s">
        <v>265</v>
      </c>
      <c r="C5" s="125" t="s">
        <v>266</v>
      </c>
      <c r="D5" s="125"/>
    </row>
    <row r="6" spans="1:4" ht="49.5" customHeight="1" x14ac:dyDescent="0.25">
      <c r="A6" s="6"/>
      <c r="B6" s="33" t="s">
        <v>267</v>
      </c>
      <c r="C6" s="125" t="s">
        <v>268</v>
      </c>
      <c r="D6" s="125"/>
    </row>
    <row r="7" spans="1:4" ht="49.5" customHeight="1" x14ac:dyDescent="0.25">
      <c r="A7" s="6"/>
      <c r="B7" s="33" t="s">
        <v>269</v>
      </c>
      <c r="C7" s="125" t="s">
        <v>270</v>
      </c>
      <c r="D7" s="125"/>
    </row>
    <row r="8" spans="1:4" ht="49.5" customHeight="1" x14ac:dyDescent="0.25">
      <c r="A8" s="6"/>
      <c r="B8" s="33" t="s">
        <v>271</v>
      </c>
      <c r="C8" s="125" t="s">
        <v>272</v>
      </c>
      <c r="D8" s="125"/>
    </row>
    <row r="9" spans="1:4" ht="6" customHeight="1" x14ac:dyDescent="0.25">
      <c r="A9" s="24"/>
      <c r="B9" s="24"/>
      <c r="C9" s="24"/>
      <c r="D9" s="24"/>
    </row>
    <row r="10" spans="1:4" ht="21.75" customHeight="1" x14ac:dyDescent="0.25">
      <c r="A10" s="106" t="s">
        <v>273</v>
      </c>
      <c r="B10" s="106"/>
      <c r="C10" s="106"/>
      <c r="D10" s="106"/>
    </row>
    <row r="11" spans="1:4" ht="19.5" customHeight="1" x14ac:dyDescent="0.25">
      <c r="A11" s="6"/>
      <c r="B11" s="101" t="s">
        <v>274</v>
      </c>
      <c r="C11" s="120" t="s">
        <v>275</v>
      </c>
      <c r="D11" s="120"/>
    </row>
    <row r="12" spans="1:4" ht="19.5" customHeight="1" x14ac:dyDescent="0.25">
      <c r="A12" s="6"/>
      <c r="B12" s="101" t="s">
        <v>276</v>
      </c>
      <c r="C12" s="123" t="s">
        <v>277</v>
      </c>
      <c r="D12" s="123"/>
    </row>
    <row r="13" spans="1:4" ht="19.5" customHeight="1" x14ac:dyDescent="0.25">
      <c r="A13" s="6"/>
      <c r="B13" s="101" t="s">
        <v>278</v>
      </c>
      <c r="C13" s="124" t="s">
        <v>279</v>
      </c>
      <c r="D13" s="124"/>
    </row>
    <row r="14" spans="1:4" ht="19.5" customHeight="1" x14ac:dyDescent="0.25">
      <c r="A14" s="6"/>
      <c r="B14" s="101" t="s">
        <v>280</v>
      </c>
      <c r="C14" s="123" t="s">
        <v>281</v>
      </c>
      <c r="D14" s="123"/>
    </row>
    <row r="15" spans="1:4" ht="19.5" customHeight="1" x14ac:dyDescent="0.25">
      <c r="A15" s="6"/>
      <c r="B15" s="101" t="s">
        <v>282</v>
      </c>
      <c r="C15" s="124" t="s">
        <v>283</v>
      </c>
      <c r="D15" s="124"/>
    </row>
    <row r="16" spans="1:4" ht="41.25" customHeight="1" x14ac:dyDescent="0.25">
      <c r="A16" s="6"/>
      <c r="B16" s="101" t="s">
        <v>284</v>
      </c>
      <c r="C16" s="121" t="s">
        <v>285</v>
      </c>
      <c r="D16" s="121"/>
    </row>
    <row r="17" spans="1:4" ht="6" customHeight="1" x14ac:dyDescent="0.25">
      <c r="A17" s="24"/>
      <c r="B17" s="24"/>
      <c r="C17" s="24"/>
      <c r="D17" s="24"/>
    </row>
    <row r="18" spans="1:4" ht="60" customHeight="1" x14ac:dyDescent="0.25">
      <c r="A18" s="122" t="s">
        <v>286</v>
      </c>
      <c r="B18" s="122"/>
      <c r="C18" s="122"/>
      <c r="D18" s="122"/>
    </row>
  </sheetData>
  <mergeCells count="16">
    <mergeCell ref="A1:D1"/>
    <mergeCell ref="A2:D2"/>
    <mergeCell ref="A3:D3"/>
    <mergeCell ref="C4:D4"/>
    <mergeCell ref="C5:D5"/>
    <mergeCell ref="C6:D6"/>
    <mergeCell ref="C7:D7"/>
    <mergeCell ref="C8:D8"/>
    <mergeCell ref="A10:D10"/>
    <mergeCell ref="C11:D11"/>
    <mergeCell ref="A18:D18"/>
    <mergeCell ref="C12:D12"/>
    <mergeCell ref="C13:D13"/>
    <mergeCell ref="C14:D14"/>
    <mergeCell ref="C15:D15"/>
    <mergeCell ref="C16:D16"/>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 KPI Dashboard</vt:lpstr>
      <vt:lpstr>💡 Insights &amp; Recommendations</vt:lpstr>
      <vt:lpstr>📊 Variance Analysis</vt:lpstr>
      <vt:lpstr>📐 Unit Economics</vt:lpstr>
      <vt:lpstr>🎯 Scenario Analysis</vt:lpstr>
      <vt:lpstr>📋 Raw Data</vt:lpstr>
      <vt:lpstr>ℹ️ About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AKM</cp:lastModifiedBy>
  <cp:revision>1</cp:revision>
  <dcterms:created xsi:type="dcterms:W3CDTF">2026-03-18T11:42:15Z</dcterms:created>
  <dcterms:modified xsi:type="dcterms:W3CDTF">2026-03-18T15:12:29Z</dcterms:modified>
  <dc:language>en-US</dc:language>
</cp:coreProperties>
</file>