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PS KRISHNA\Downloads\"/>
    </mc:Choice>
  </mc:AlternateContent>
  <xr:revisionPtr revIDLastSave="0" documentId="13_ncr:1_{499EC358-F03B-4E5D-A268-E42394FB14AF}" xr6:coauthVersionLast="47" xr6:coauthVersionMax="47" xr10:uidLastSave="{00000000-0000-0000-0000-000000000000}"/>
  <bookViews>
    <workbookView xWindow="-110" yWindow="-110" windowWidth="19420" windowHeight="10300" tabRatio="500" firstSheet="1" activeTab="4" xr2:uid="{00000000-000D-0000-FFFF-FFFF00000000}"/>
  </bookViews>
  <sheets>
    <sheet name="HOME" sheetId="1" r:id="rId1"/>
    <sheet name="Income Statement" sheetId="2" r:id="rId2"/>
    <sheet name="Balance Sheet" sheetId="3" r:id="rId3"/>
    <sheet name="Cash Flow" sheetId="4" r:id="rId4"/>
    <sheet name="Ratio Analysis" sheetId="5" r:id="rId5"/>
    <sheet name="Business Analysis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4" l="1"/>
  <c r="D19" i="4" s="1"/>
  <c r="D34" i="4" s="1"/>
  <c r="D36" i="4" s="1"/>
  <c r="C17" i="4"/>
  <c r="D22" i="5"/>
  <c r="C22" i="5"/>
  <c r="D20" i="5"/>
  <c r="C20" i="5"/>
  <c r="D17" i="5"/>
  <c r="C17" i="5"/>
  <c r="D9" i="5"/>
  <c r="C9" i="5"/>
  <c r="F35" i="4"/>
  <c r="E35" i="4"/>
  <c r="D32" i="4"/>
  <c r="C32" i="4"/>
  <c r="F31" i="4"/>
  <c r="E31" i="4"/>
  <c r="F30" i="4"/>
  <c r="E30" i="4"/>
  <c r="D27" i="4"/>
  <c r="C27" i="4"/>
  <c r="F26" i="4"/>
  <c r="E26" i="4"/>
  <c r="F25" i="4"/>
  <c r="E25" i="4"/>
  <c r="F24" i="4"/>
  <c r="E24" i="4"/>
  <c r="F23" i="4"/>
  <c r="E23" i="4"/>
  <c r="F22" i="4"/>
  <c r="E22" i="4"/>
  <c r="F18" i="4"/>
  <c r="E18" i="4"/>
  <c r="F16" i="4"/>
  <c r="E16" i="4"/>
  <c r="F15" i="4"/>
  <c r="E15" i="4"/>
  <c r="F14" i="4"/>
  <c r="E14" i="4"/>
  <c r="F13" i="4"/>
  <c r="E13" i="4"/>
  <c r="F12" i="4"/>
  <c r="E12" i="4"/>
  <c r="F11" i="4"/>
  <c r="E11" i="4"/>
  <c r="D10" i="4"/>
  <c r="C10" i="4"/>
  <c r="F9" i="4"/>
  <c r="E9" i="4"/>
  <c r="F8" i="4"/>
  <c r="E8" i="4"/>
  <c r="F7" i="4"/>
  <c r="E7" i="4"/>
  <c r="F6" i="4"/>
  <c r="E6" i="4"/>
  <c r="F5" i="4"/>
  <c r="E5" i="4"/>
  <c r="F4" i="4"/>
  <c r="E4" i="4"/>
  <c r="D41" i="3"/>
  <c r="C41" i="3"/>
  <c r="F40" i="3"/>
  <c r="E40" i="3"/>
  <c r="F39" i="3"/>
  <c r="E39" i="3"/>
  <c r="F38" i="3"/>
  <c r="E38" i="3"/>
  <c r="F37" i="3"/>
  <c r="E37" i="3"/>
  <c r="F36" i="3"/>
  <c r="E36" i="3"/>
  <c r="D33" i="3"/>
  <c r="D42" i="3" s="1"/>
  <c r="C33" i="3"/>
  <c r="F32" i="3"/>
  <c r="E32" i="3"/>
  <c r="F31" i="3"/>
  <c r="E31" i="3"/>
  <c r="D28" i="3"/>
  <c r="D43" i="3" s="1"/>
  <c r="C28" i="3"/>
  <c r="F27" i="3"/>
  <c r="E27" i="3"/>
  <c r="F26" i="3"/>
  <c r="E26" i="3"/>
  <c r="D21" i="3"/>
  <c r="C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D11" i="3"/>
  <c r="D22" i="3" s="1"/>
  <c r="C11" i="3"/>
  <c r="F10" i="3"/>
  <c r="E10" i="3"/>
  <c r="F9" i="3"/>
  <c r="E9" i="3"/>
  <c r="F8" i="3"/>
  <c r="E8" i="3"/>
  <c r="F7" i="3"/>
  <c r="E7" i="3"/>
  <c r="F6" i="3"/>
  <c r="E6" i="3"/>
  <c r="F5" i="3"/>
  <c r="E5" i="3"/>
  <c r="F20" i="2"/>
  <c r="E20" i="2"/>
  <c r="E17" i="2"/>
  <c r="D14" i="2"/>
  <c r="C14" i="2"/>
  <c r="F13" i="2"/>
  <c r="E13" i="2"/>
  <c r="F12" i="2"/>
  <c r="E12" i="2"/>
  <c r="F11" i="2"/>
  <c r="E11" i="2"/>
  <c r="F10" i="2"/>
  <c r="E10" i="2"/>
  <c r="F9" i="2"/>
  <c r="E9" i="2"/>
  <c r="D6" i="2"/>
  <c r="C6" i="2"/>
  <c r="F5" i="2"/>
  <c r="E5" i="2"/>
  <c r="F4" i="2"/>
  <c r="E4" i="2"/>
  <c r="F32" i="4" l="1"/>
  <c r="E32" i="4"/>
  <c r="F27" i="4"/>
  <c r="E27" i="4"/>
  <c r="E17" i="4"/>
  <c r="C19" i="4"/>
  <c r="F17" i="4"/>
  <c r="F10" i="4"/>
  <c r="E10" i="4"/>
  <c r="E41" i="3"/>
  <c r="F41" i="3"/>
  <c r="F33" i="3"/>
  <c r="E33" i="3"/>
  <c r="C42" i="3"/>
  <c r="C43" i="3"/>
  <c r="F28" i="3"/>
  <c r="E28" i="3"/>
  <c r="F21" i="3"/>
  <c r="E21" i="3"/>
  <c r="C22" i="3"/>
  <c r="F11" i="3"/>
  <c r="E11" i="3"/>
  <c r="F14" i="2"/>
  <c r="E14" i="2"/>
  <c r="D25" i="2"/>
  <c r="D16" i="2"/>
  <c r="C25" i="2"/>
  <c r="E25" i="2" s="1"/>
  <c r="C16" i="2"/>
  <c r="F6" i="2"/>
  <c r="E6" i="2"/>
  <c r="E19" i="4" l="1"/>
  <c r="F19" i="4"/>
  <c r="C34" i="4"/>
  <c r="E42" i="3"/>
  <c r="F42" i="3"/>
  <c r="E43" i="3"/>
  <c r="F43" i="3"/>
  <c r="E22" i="3"/>
  <c r="F22" i="3"/>
  <c r="D18" i="2"/>
  <c r="D26" i="2"/>
  <c r="E16" i="2"/>
  <c r="F16" i="2"/>
  <c r="C18" i="2"/>
  <c r="C26" i="2"/>
  <c r="E26" i="2" s="1"/>
  <c r="E34" i="4" l="1"/>
  <c r="F34" i="4"/>
  <c r="C36" i="4"/>
  <c r="D21" i="2"/>
  <c r="D27" i="2"/>
  <c r="C27" i="2"/>
  <c r="E27" i="2" s="1"/>
  <c r="E18" i="2"/>
  <c r="F18" i="2"/>
  <c r="C21" i="2"/>
  <c r="E36" i="4" l="1"/>
  <c r="F36" i="4"/>
  <c r="E21" i="2"/>
  <c r="F21" i="2"/>
</calcChain>
</file>

<file path=xl/sharedStrings.xml><?xml version="1.0" encoding="utf-8"?>
<sst xmlns="http://schemas.openxmlformats.org/spreadsheetml/2006/main" count="307" uniqueCount="288">
  <si>
    <t>FRESH &amp; HEALTHY ENTERPRISES LIMITED</t>
  </si>
  <si>
    <t>Financial Health Analysis Model  |  FY 2021-22 vs FY 2022-23</t>
  </si>
  <si>
    <t>Company</t>
  </si>
  <si>
    <t>Fresh &amp; Healthy Enterprises Limited (FHEL)</t>
  </si>
  <si>
    <t>Parent</t>
  </si>
  <si>
    <t>Container Corporation of India Limited (CONCOR)</t>
  </si>
  <si>
    <t>CIN</t>
  </si>
  <si>
    <t>U51909DL2006GOI145734</t>
  </si>
  <si>
    <t>Registered Office</t>
  </si>
  <si>
    <t>CONCOR Bhawan, C-3, Mathura Road, New Delhi 110076</t>
  </si>
  <si>
    <t>Industry</t>
  </si>
  <si>
    <t>Cold Chain / Agri Logistics</t>
  </si>
  <si>
    <t>Report Period</t>
  </si>
  <si>
    <t>FY 2022-23 (Year ended 31 March 2023)</t>
  </si>
  <si>
    <t>Currency</t>
  </si>
  <si>
    <t>Indian Rupees (INR Lakhs unless noted)</t>
  </si>
  <si>
    <t>Auditor</t>
  </si>
  <si>
    <t>Deepak Gulati &amp; Associates, Chartered Accountants</t>
  </si>
  <si>
    <t>Model Prepared</t>
  </si>
  <si>
    <t>Financial Health Analysis for FP&amp;A Study</t>
  </si>
  <si>
    <t>Data Source</t>
  </si>
  <si>
    <t>18th Annual Report 2022-23 (Audited Financials)</t>
  </si>
  <si>
    <t>Color Legend:   Blue = Hardcoded inputs     Black = Formulas     Green = Cross-sheet links</t>
  </si>
  <si>
    <t>Worksheet Index</t>
  </si>
  <si>
    <t>Income Statement</t>
  </si>
  <si>
    <t>Revenues, expenses, and bottom-line loss</t>
  </si>
  <si>
    <t>Balance Sheet</t>
  </si>
  <si>
    <t>Assets, liabilities, and equity position</t>
  </si>
  <si>
    <t>Cash Flow</t>
  </si>
  <si>
    <t>Operating, investing, and financing flows</t>
  </si>
  <si>
    <t>Ratio Analysis</t>
  </si>
  <si>
    <t>Liquidity, leverage, profitability, efficiency</t>
  </si>
  <si>
    <t>Business Analysis</t>
  </si>
  <si>
    <t>SWOT, segment review, trend commentary</t>
  </si>
  <si>
    <t>INCOME STATEMENT  |  INR Lakhs</t>
  </si>
  <si>
    <t>Line Item</t>
  </si>
  <si>
    <t>FY 2022-23</t>
  </si>
  <si>
    <t>FY 2021-22</t>
  </si>
  <si>
    <t>Change (Lakhs)</t>
  </si>
  <si>
    <t>Change (%)</t>
  </si>
  <si>
    <t>REVENUE</t>
  </si>
  <si>
    <t xml:space="preserve">  Revenue from Operations</t>
  </si>
  <si>
    <t xml:space="preserve">  Other Income</t>
  </si>
  <si>
    <t>Total Income</t>
  </si>
  <si>
    <t>EXPENSES</t>
  </si>
  <si>
    <t xml:space="preserve">  Direct Expenses</t>
  </si>
  <si>
    <t xml:space="preserve">  Employee Benefits Expenses</t>
  </si>
  <si>
    <t xml:space="preserve">  Finance Cost</t>
  </si>
  <si>
    <t xml:space="preserve">  Depreciation &amp; Amortisation</t>
  </si>
  <si>
    <t xml:space="preserve">  Other Expenses</t>
  </si>
  <si>
    <t>Total Expenses</t>
  </si>
  <si>
    <t>Loss Before Tax</t>
  </si>
  <si>
    <t xml:space="preserve">  Tax Expense</t>
  </si>
  <si>
    <t>N/A</t>
  </si>
  <si>
    <t>Loss After Tax</t>
  </si>
  <si>
    <t xml:space="preserve">  Other Comprehensive Income</t>
  </si>
  <si>
    <t>Total Comprehensive Loss</t>
  </si>
  <si>
    <t>KEY MARGINS  (as % of Total Income)</t>
  </si>
  <si>
    <t>Margin Metric</t>
  </si>
  <si>
    <t>Change (pp)</t>
  </si>
  <si>
    <t xml:space="preserve">  Gross Margin (after Direct Exp)</t>
  </si>
  <si>
    <t xml:space="preserve">  EBITDA Margin</t>
  </si>
  <si>
    <t xml:space="preserve">  Net Loss Margin</t>
  </si>
  <si>
    <t>Source: Statement of Profit &amp; Loss, FHEL 18th Annual Report 2022-23, Pages 43, 62-63</t>
  </si>
  <si>
    <t>BALANCE SHEET  |  INR Lakhs  |  As at 31 March</t>
  </si>
  <si>
    <t>ASSETS</t>
  </si>
  <si>
    <t>Non-Current Assets</t>
  </si>
  <si>
    <t xml:space="preserve">  Property, Plant &amp; Equipment (Net)</t>
  </si>
  <si>
    <t xml:space="preserve">  Intangible Assets</t>
  </si>
  <si>
    <t xml:space="preserve">  Capital Work in Progress</t>
  </si>
  <si>
    <t xml:space="preserve">  Loans (Non-Current)</t>
  </si>
  <si>
    <t xml:space="preserve">  Other Financial Assets (Non-Current)</t>
  </si>
  <si>
    <t xml:space="preserve">  Other Non-Current Assets</t>
  </si>
  <si>
    <t>Total Non-Current Assets</t>
  </si>
  <si>
    <t>Current Assets</t>
  </si>
  <si>
    <t xml:space="preserve">  Inventories</t>
  </si>
  <si>
    <t xml:space="preserve">  Trade Receivables</t>
  </si>
  <si>
    <t xml:space="preserve">  Cash &amp; Cash Equivalents</t>
  </si>
  <si>
    <t xml:space="preserve">  Other Bank Balances</t>
  </si>
  <si>
    <t xml:space="preserve">  Other Financial Assets (Current)</t>
  </si>
  <si>
    <t xml:space="preserve">  Current Tax Assets (Net)</t>
  </si>
  <si>
    <t xml:space="preserve">  Other Current Assets</t>
  </si>
  <si>
    <t>Total Current Assets</t>
  </si>
  <si>
    <t>TOTAL ASSETS</t>
  </si>
  <si>
    <t>EQUITY &amp; LIABILITIES</t>
  </si>
  <si>
    <t>Equity</t>
  </si>
  <si>
    <t xml:space="preserve">  Equity Share Capital</t>
  </si>
  <si>
    <t xml:space="preserve">  Reserves &amp; Surplus</t>
  </si>
  <si>
    <t>Total Equity</t>
  </si>
  <si>
    <t>Non-Current Liabilities</t>
  </si>
  <si>
    <t xml:space="preserve">  Lease Liabilities (Non-Current)</t>
  </si>
  <si>
    <t xml:space="preserve">  Long-Term Provisions</t>
  </si>
  <si>
    <t>Total Non-Current Liabilities</t>
  </si>
  <si>
    <t>Current Liabilities</t>
  </si>
  <si>
    <t xml:space="preserve">  Lease Liabilities (Current)</t>
  </si>
  <si>
    <t xml:space="preserve">  Trade Payables</t>
  </si>
  <si>
    <t xml:space="preserve">  Other Financial Liabilities</t>
  </si>
  <si>
    <t xml:space="preserve">  Other Current Liabilities</t>
  </si>
  <si>
    <t xml:space="preserve">  Short-Term Provisions</t>
  </si>
  <si>
    <t>Total Current Liabilities</t>
  </si>
  <si>
    <t>TOTAL LIABILITIES</t>
  </si>
  <si>
    <t>TOTAL EQUITY &amp; LIABILITIES</t>
  </si>
  <si>
    <t>Source: Balance Sheet, FHEL 18th Annual Report 2022-23, Page 42</t>
  </si>
  <si>
    <t>CASH FLOW STATEMENT  |  INR Lakhs</t>
  </si>
  <si>
    <t>A. CASH FLOW FROM OPERATING ACTIVITIES</t>
  </si>
  <si>
    <t>Net Loss After Tax</t>
  </si>
  <si>
    <t>Add: Depreciation &amp; Amortisation</t>
  </si>
  <si>
    <t>Add: Interest Income (Non-Operating)</t>
  </si>
  <si>
    <t>Add: Non-Operating Income</t>
  </si>
  <si>
    <t>Add: Finance Cost on Lease</t>
  </si>
  <si>
    <t>Less: Gain on Sale of Fixed Assets</t>
  </si>
  <si>
    <t>Operating Profit Before WC Changes</t>
  </si>
  <si>
    <t>(Inc)/Dec in Trade Receivables</t>
  </si>
  <si>
    <t>(Inc)/Dec in Other Current Assets</t>
  </si>
  <si>
    <t>Inc/(Dec) in Other Financial Liabilities</t>
  </si>
  <si>
    <t>Inc/(Dec) in Lease Liabilities (WC)</t>
  </si>
  <si>
    <t>Inc/(Dec) in Other Current Liabilities</t>
  </si>
  <si>
    <t>Inc/(Dec) in Short-Term Provisions</t>
  </si>
  <si>
    <t>Cash from Operations</t>
  </si>
  <si>
    <t>Income Taxes Paid / Refund</t>
  </si>
  <si>
    <t>Net Cash from Operating Activities</t>
  </si>
  <si>
    <t>B. CASH FLOW FROM INVESTING ACTIVITIES</t>
  </si>
  <si>
    <t>Purchase of Fixed Assets</t>
  </si>
  <si>
    <t>Capital Work in Progress</t>
  </si>
  <si>
    <t>Sale of Fixed Assets</t>
  </si>
  <si>
    <t>Loans to Employees</t>
  </si>
  <si>
    <t>Interest Received</t>
  </si>
  <si>
    <t>Net Cash from Investing Activities</t>
  </si>
  <si>
    <t>C. CASH FLOW FROM FINANCING ACTIVITIES</t>
  </si>
  <si>
    <t>Payment of Lease Liabilities</t>
  </si>
  <si>
    <t>Equity Infusion from CONCOR</t>
  </si>
  <si>
    <t>Net Cash from Financing Activities</t>
  </si>
  <si>
    <t>NET INCREASE / (DECREASE) IN CASH</t>
  </si>
  <si>
    <t>Opening Cash &amp; Cash Equivalents</t>
  </si>
  <si>
    <t>Closing Cash &amp; Cash Equivalents</t>
  </si>
  <si>
    <t>RATIO ANALYSIS  |  FY 2022-23 vs FY 2021-22</t>
  </si>
  <si>
    <t>Ratio</t>
  </si>
  <si>
    <t>Interpretation</t>
  </si>
  <si>
    <t>LIQUIDITY RATIOS</t>
  </si>
  <si>
    <t xml:space="preserve">  Current Ratio</t>
  </si>
  <si>
    <t>2.61x</t>
  </si>
  <si>
    <t>1.47x</t>
  </si>
  <si>
    <t>Improved significantly; &gt; 2x is healthy</t>
  </si>
  <si>
    <t xml:space="preserve">  Quick Ratio (ex-Inventory)</t>
  </si>
  <si>
    <t>2.60x</t>
  </si>
  <si>
    <t>1.46x</t>
  </si>
  <si>
    <t>Negligible inventory effect</t>
  </si>
  <si>
    <t xml:space="preserve">  Cash Ratio</t>
  </si>
  <si>
    <t>1.31x</t>
  </si>
  <si>
    <t>0.34x</t>
  </si>
  <si>
    <t>Strong cash cover for short-term liabilities</t>
  </si>
  <si>
    <t>LEVERAGE RATIOS</t>
  </si>
  <si>
    <t xml:space="preserve">  Debt-Equity Ratio</t>
  </si>
  <si>
    <t>Nil</t>
  </si>
  <si>
    <t>Zero financial debt; all equity funded</t>
  </si>
  <si>
    <t xml:space="preserve">  Total Liabilities to Equity</t>
  </si>
  <si>
    <t>Low external leverage</t>
  </si>
  <si>
    <t xml:space="preserve">  Interest Coverage (x)</t>
  </si>
  <si>
    <t>N/A (Loss Making)</t>
  </si>
  <si>
    <t>Company is loss making; metric not meaningful</t>
  </si>
  <si>
    <t>PROFITABILITY RATIOS</t>
  </si>
  <si>
    <t>Declined; rising direct costs vs falling revenue</t>
  </si>
  <si>
    <t>Sharply compressed; major concern</t>
  </si>
  <si>
    <t>Improving; loss narrowed by 31% YoY</t>
  </si>
  <si>
    <t xml:space="preserve">  Return on Equity (%)</t>
  </si>
  <si>
    <t>Loss-making; negative return on equity</t>
  </si>
  <si>
    <t xml:space="preserve">  Return on Capital Employed (%)</t>
  </si>
  <si>
    <t>Trend improving but still deeply negative</t>
  </si>
  <si>
    <t xml:space="preserve">  Return on Assets (%)</t>
  </si>
  <si>
    <t>Loss-generating asset base</t>
  </si>
  <si>
    <t>EFFICIENCY RATIOS</t>
  </si>
  <si>
    <t xml:space="preserve">  Trade Receivables Turnover (x)</t>
  </si>
  <si>
    <t>2.10x</t>
  </si>
  <si>
    <t>2.17x</t>
  </si>
  <si>
    <t>Slight decline; collections slightly slower</t>
  </si>
  <si>
    <t xml:space="preserve">  Receivable Days</t>
  </si>
  <si>
    <t>Days to collect outstanding balances</t>
  </si>
  <si>
    <t xml:space="preserve">  Net Capital Turnover (x)</t>
  </si>
  <si>
    <t>0.42x</t>
  </si>
  <si>
    <t>0.82x</t>
  </si>
  <si>
    <t>Low asset utilisation</t>
  </si>
  <si>
    <t xml:space="preserve">  Total Asset Turnover (x)</t>
  </si>
  <si>
    <t>Very low; significant idle assets</t>
  </si>
  <si>
    <t>SOLVENCY &amp; GOING CONCERN</t>
  </si>
  <si>
    <t xml:space="preserve">  Accumulated Losses (INR Lakhs)</t>
  </si>
  <si>
    <t>Cumulative losses exceed share premium</t>
  </si>
  <si>
    <t xml:space="preserve">  Net Worth (INR Lakhs)</t>
  </si>
  <si>
    <t>Positive only due to CONCOR capital infusions</t>
  </si>
  <si>
    <t xml:space="preserve">  Equity Infusion in FY (INR Lakhs)</t>
  </si>
  <si>
    <t>Reliant on parent for survival</t>
  </si>
  <si>
    <t xml:space="preserve">  Cash Profit / (Loss) (INR Lakhs)</t>
  </si>
  <si>
    <t>Positive but minimal operating cash generation</t>
  </si>
  <si>
    <t>Source: Financial Statements &amp; Note 42 (Analytical Ratios), FHEL 18th Annual Report 2022-23</t>
  </si>
  <si>
    <t>BUSINESS ANALYSIS  |  FHEL FY 2022-23</t>
  </si>
  <si>
    <t>All analysis based on FHEL 18th Annual Report 2022-23  |  Company is a loss-making Central Government PSU</t>
  </si>
  <si>
    <t>SWOT ANALYSIS</t>
  </si>
  <si>
    <t>Strengths</t>
  </si>
  <si>
    <t>Weaknesses</t>
  </si>
  <si>
    <t>PSU status under CONCOR provides strong credibility and institutional trust with clients</t>
  </si>
  <si>
    <t>Persistent and deep accumulated losses of INR 190.17 crore; equity eroded without CONCOR support</t>
  </si>
  <si>
    <t>First mover in specialized CA Storage for apples in India; 16 years of operational track record</t>
  </si>
  <si>
    <t>Only 4 regular employees; extremely thin workforce for a multi-crore infrastructure business</t>
  </si>
  <si>
    <t>Agri Logistics Centre at Rai, Sonepat has diversified offering: CA, Chiller, Custom Bonded Warehouse</t>
  </si>
  <si>
    <t>Revenue declining: down from INR 685 lakhs (FY22) to INR 568 lakhs (FY23)</t>
  </si>
  <si>
    <t>Customer base grew from 230 to 254 clients in FY 2022-23</t>
  </si>
  <si>
    <t>High dependence on import cargo, especially Kiwi from Iran (import ban hurt revenues)</t>
  </si>
  <si>
    <t>Zero financial debt; entirely equity funded; no default risk</t>
  </si>
  <si>
    <t>Depreciation burden of INR 259 lakhs alone exceeds operating profit by a wide margin</t>
  </si>
  <si>
    <t>Positive cash profit of INR 2.28 lakhs in FY 2022-23 vs INR 82.99 lakhs prior year</t>
  </si>
  <si>
    <t>Trade receivables at 47.6% of revenue; significant credit risk with disputed debtors in legal proceedings</t>
  </si>
  <si>
    <t>SWOT - Opp &amp; Threats</t>
  </si>
  <si>
    <t>Opportunities</t>
  </si>
  <si>
    <t>Threats</t>
  </si>
  <si>
    <t>India is the world's 2nd largest fruit and vegetable producer; large untapped cold storage demand</t>
  </si>
  <si>
    <t>Intense and growing competition from private CA stores in Delhi-NCR, HP and J&amp;K</t>
  </si>
  <si>
    <t>Rising disposable incomes driving year-round demand for quality fresh produce</t>
  </si>
  <si>
    <t>Unorganized sector with differential pricing practices undercuts PSU's transparent pricing</t>
  </si>
  <si>
    <t>Increasing fruit imports signal strong demand for bonded and CA storage</t>
  </si>
  <si>
    <t>High capital cost leads to higher rental rates vs private players</t>
  </si>
  <si>
    <t>Warehouse lease to M/s Siddhi Enterprises for 10 years provides stable rental income</t>
  </si>
  <si>
    <t>Government bans on specific imports (e.g., Iran Kiwi) can directly hit utilisation overnight</t>
  </si>
  <si>
    <t>Phase-II re-engineering completed; new 30,160 sq ft warehouses now generating lease income</t>
  </si>
  <si>
    <t>Weather-dependent crop yields; hailstorms during pre-harvest affect supply volumes</t>
  </si>
  <si>
    <t>Government push on agri-logistics and FDI in cold chain presents growth avenues</t>
  </si>
  <si>
    <t>Inability to recover dues from 9+ litigating debtors totaling approx INR 190 lakhs</t>
  </si>
  <si>
    <t>SEGMENT ANALYSIS</t>
  </si>
  <si>
    <t>EXIM Segment</t>
  </si>
  <si>
    <t>Domestic Segment</t>
  </si>
  <si>
    <t>EXIM Segment Revenue FY23: INR 86.57 lakhs (vs INR 169.63 lakhs in FY22)</t>
  </si>
  <si>
    <t>Domestic Segment Revenue FY23: INR 481.32 lakhs (vs INR 516.01 lakhs in FY22)</t>
  </si>
  <si>
    <t>EXIM segment loss: INR (44.01) lakhs vs INR (92.64) lakhs; loss reducing</t>
  </si>
  <si>
    <t>Domestic segment loss: INR (244.91) lakhs vs INR (284.52) lakhs; improving</t>
  </si>
  <si>
    <t>Segment driven by Custom Bonded Warehouse charges; impacted by Iran Kiwi ban</t>
  </si>
  <si>
    <t>Segment driven by Cooling Charges (INR 424.57 L) and Handling Income (INR 56.75 L)</t>
  </si>
  <si>
    <t>EXIM Revenue down 49% YoY due to direct clearance by importers</t>
  </si>
  <si>
    <t>36 chambers operational: 7 CBW + 20 Chillers + 9 CA as at 31 March 2023</t>
  </si>
  <si>
    <t>Bonded Warehouse Charges: INR 77.66 lakhs FY23 vs INR 153.87 lakhs FY22</t>
  </si>
  <si>
    <t>Products stored: Apple, Kiwi, Oranges, Dates, Pears, Almonds, Walnuts, Garlic, Grapes etc.</t>
  </si>
  <si>
    <t>FINANCIAL TRENDS</t>
  </si>
  <si>
    <t>Metric</t>
  </si>
  <si>
    <t>Commentary</t>
  </si>
  <si>
    <t>Revenue Trajectory</t>
  </si>
  <si>
    <t>Revenue declining consistently: FY22 INR 685 L to FY23 INR 568 L (-17%); recovery path unclear</t>
  </si>
  <si>
    <t>Loss Reduction</t>
  </si>
  <si>
    <t>Net loss improved 31% from INR 372.55 L to INR 257.40 L; positive trend but base effect of lower depreciation</t>
  </si>
  <si>
    <t>Capital Structure</t>
  </si>
  <si>
    <t>CONCOR infused INR 821 L in FY23 and INR 546 L in FY22; company fully dependent on parent for capex</t>
  </si>
  <si>
    <t>Cash Position</t>
  </si>
  <si>
    <t>Cash balance tripled from INR 141 L to INR 386 L; reflecting equity infusion more than operating improvement</t>
  </si>
  <si>
    <t>Depreciation Burden</t>
  </si>
  <si>
    <t>Depreciation at INR 259 L (FY23) vs INR 455 L (FY22); decline due to assets being fully depreciated</t>
  </si>
  <si>
    <t>Accumulated Losses</t>
  </si>
  <si>
    <t>Accumulated losses at INR 19,017 L; 6.6x the annual revenue; structural issue</t>
  </si>
  <si>
    <t>Workforce</t>
  </si>
  <si>
    <t>Staff count stable at 4; lean but risky for business continuity and scale</t>
  </si>
  <si>
    <t>MANAGEMENT &amp; GOVERNANCE</t>
  </si>
  <si>
    <t>Topic</t>
  </si>
  <si>
    <t>Detail</t>
  </si>
  <si>
    <t>Parent Company</t>
  </si>
  <si>
    <t>100% subsidiary of CONCOR (Navratna PSU under Ministry of Railways); board fully appointed by CONCOR</t>
  </si>
  <si>
    <t>Board Composition</t>
  </si>
  <si>
    <t>4 Part-time Non-Executive Directors as at 31 March 2023; no independent directors (exempt as wholly owned sub)</t>
  </si>
  <si>
    <t>Key Management</t>
  </si>
  <si>
    <t>CEO: Santosh Sinha  |  CFO: Ravindra Bhat  |  CS: Suman Lata; compensation paid by CONCOR</t>
  </si>
  <si>
    <t>Statutory Audit</t>
  </si>
  <si>
    <t>M/s Deepak Gulati &amp; Associates appointed by C&amp;AG; remuneration INR 1.08 L + GST; opinion unmodified</t>
  </si>
  <si>
    <t>Secretarial Audit</t>
  </si>
  <si>
    <t>M/s Amit Agrawal &amp; Associates; clean report with no adverse observations</t>
  </si>
  <si>
    <t>C&amp;AG Review</t>
  </si>
  <si>
    <t>C&amp;AG decided not to conduct supplementary audit; no comments issued for FY 2022-23</t>
  </si>
  <si>
    <t>CSR</t>
  </si>
  <si>
    <t>Not applicable; company is a loss-making entity, hence exempt from CSR spend under Companies Act 2013</t>
  </si>
  <si>
    <t>KEY RISKS</t>
  </si>
  <si>
    <t>Risk Area</t>
  </si>
  <si>
    <t>Mitigation / Status</t>
  </si>
  <si>
    <t>Going Concern Risk</t>
  </si>
  <si>
    <t>HIGH - Company has been loss-making for 10+ consecutive years; survival depends on CONCOR equity infusion</t>
  </si>
  <si>
    <t>Revenue Concentration Risk</t>
  </si>
  <si>
    <t>MEDIUM - Heavily reliant on apple and Kiwi import volumes; seasonal and import-policy sensitive</t>
  </si>
  <si>
    <t>Credit / Debtor Risk</t>
  </si>
  <si>
    <t>MEDIUM-HIGH - INR 190 lakhs in disputed receivables; multiple active legal cases; no provision made</t>
  </si>
  <si>
    <t>Regulatory Risk</t>
  </si>
  <si>
    <t>HIGH - Govt of India import bans (e.g., Iran Kiwi) directly impact revenue; no control over policy</t>
  </si>
  <si>
    <t>Operational Risk</t>
  </si>
  <si>
    <t>LOW - Facility operational 24x7; 36 chambers rented; no major breakdown reported in FY23</t>
  </si>
  <si>
    <t>Parent Dependency Risk</t>
  </si>
  <si>
    <t>HIGH - Zero standalone financial viability; requires CONCOR capital support for every capex cycle</t>
  </si>
  <si>
    <t>Source: Cash Flow Statement, FHEL 18th Annual Report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</si>
</sst>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;\(0.0%\);\-"/>
  </numFmts>
  <fonts count="13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i/>
      <sz val="9"/>
      <color rgb="FF595959"/>
      <name val="Arial"/>
      <charset val="1"/>
    </font>
    <font>
      <b/>
      <sz val="11"/>
      <color rgb="FFFFFFFF"/>
      <name val="Arial"/>
      <charset val="1"/>
    </font>
    <font>
      <b/>
      <sz val="10"/>
      <color rgb="FF2E75B6"/>
      <name val="Arial"/>
      <charset val="1"/>
    </font>
    <font>
      <b/>
      <sz val="12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FF"/>
      <name val="Arial"/>
      <charset val="1"/>
    </font>
    <font>
      <b/>
      <sz val="9"/>
      <color rgb="FFFFFFFF"/>
      <name val="Arial"/>
      <charset val="1"/>
    </font>
    <font>
      <sz val="9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4472C4"/>
        <bgColor rgb="FF2E75B6"/>
      </patternFill>
    </fill>
    <fill>
      <patternFill patternType="solid">
        <fgColor rgb="FFD9E1F2"/>
        <bgColor rgb="FFD6E4F0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D6E4F0"/>
        <bgColor rgb="FFD9E1F2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164" fontId="4" fillId="5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1" xfId="0" applyFont="1" applyBorder="1"/>
    <xf numFmtId="0" fontId="7" fillId="4" borderId="1" xfId="0" applyFont="1" applyFill="1" applyBorder="1"/>
    <xf numFmtId="0" fontId="6" fillId="2" borderId="0" xfId="0" applyFont="1" applyFill="1" applyAlignment="1">
      <alignment horizontal="left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164" fontId="4" fillId="5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5" borderId="2" xfId="0" applyNumberFormat="1" applyFont="1" applyFill="1" applyBorder="1" applyAlignment="1">
      <alignment horizontal="right" vertical="center"/>
    </xf>
    <xf numFmtId="0" fontId="10" fillId="4" borderId="2" xfId="0" applyNumberFormat="1" applyFont="1" applyFill="1" applyBorder="1" applyAlignment="1">
      <alignment horizontal="right" vertical="center"/>
    </xf>
    <xf numFmtId="10" fontId="10" fillId="4" borderId="2" xfId="0" applyNumberFormat="1" applyFont="1" applyFill="1" applyBorder="1" applyAlignment="1">
      <alignment horizontal="right" vertical="center"/>
    </xf>
    <xf numFmtId="10" fontId="10" fillId="5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6E4F0"/>
      <rgbColor rgb="FF660066"/>
      <rgbColor rgb="FFFF8080"/>
      <rgbColor rgb="FF2E75B6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0ECDEEF-C529-4FE6-9E12-AE663EF66327}">
  <we:reference id="wa200009404" version="1.0.0.8" store="en-US" storeType="OMEX"/>
  <we:alternateReferences>
    <we:reference id="wa200009404" version="1.0.0.8" store="wa200009404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3"/>
  <sheetViews>
    <sheetView showGridLines="0" topLeftCell="A10" zoomScaleNormal="100" workbookViewId="0"/>
  </sheetViews>
  <sheetFormatPr defaultColWidth="8.6328125" defaultRowHeight="14.5" x14ac:dyDescent="0.35"/>
  <cols>
    <col min="1" max="1" width="2" customWidth="1"/>
    <col min="2" max="3" width="28" customWidth="1"/>
    <col min="4" max="4" width="20" customWidth="1"/>
    <col min="5" max="8" width="18" customWidth="1"/>
  </cols>
  <sheetData>
    <row r="2" spans="2:8" ht="36" customHeight="1" x14ac:dyDescent="0.35">
      <c r="B2" s="14" t="s">
        <v>0</v>
      </c>
      <c r="C2" s="14"/>
      <c r="D2" s="14"/>
      <c r="E2" s="14"/>
      <c r="F2" s="14"/>
      <c r="G2" s="14"/>
      <c r="H2" s="14"/>
    </row>
    <row r="3" spans="2:8" ht="24" customHeight="1" x14ac:dyDescent="0.35">
      <c r="B3" s="13" t="s">
        <v>1</v>
      </c>
      <c r="C3" s="13"/>
      <c r="D3" s="13"/>
      <c r="E3" s="13"/>
      <c r="F3" s="13"/>
      <c r="G3" s="13"/>
      <c r="H3" s="13"/>
    </row>
    <row r="5" spans="2:8" ht="15" customHeight="1" x14ac:dyDescent="0.35">
      <c r="B5" s="12" t="s">
        <v>2</v>
      </c>
      <c r="C5" s="12"/>
      <c r="D5" s="11" t="s">
        <v>3</v>
      </c>
      <c r="E5" s="11"/>
      <c r="F5" s="11"/>
      <c r="G5" s="11"/>
      <c r="H5" s="11"/>
    </row>
    <row r="6" spans="2:8" ht="15" customHeight="1" x14ac:dyDescent="0.35">
      <c r="B6" s="12" t="s">
        <v>4</v>
      </c>
      <c r="C6" s="12"/>
      <c r="D6" s="11" t="s">
        <v>5</v>
      </c>
      <c r="E6" s="11"/>
      <c r="F6" s="11"/>
      <c r="G6" s="11"/>
      <c r="H6" s="11"/>
    </row>
    <row r="7" spans="2:8" ht="15" customHeight="1" x14ac:dyDescent="0.35">
      <c r="B7" s="12" t="s">
        <v>6</v>
      </c>
      <c r="C7" s="12"/>
      <c r="D7" s="11" t="s">
        <v>7</v>
      </c>
      <c r="E7" s="11"/>
      <c r="F7" s="11"/>
      <c r="G7" s="11"/>
      <c r="H7" s="11"/>
    </row>
    <row r="8" spans="2:8" ht="15" customHeight="1" x14ac:dyDescent="0.35">
      <c r="B8" s="12" t="s">
        <v>8</v>
      </c>
      <c r="C8" s="12"/>
      <c r="D8" s="11" t="s">
        <v>9</v>
      </c>
      <c r="E8" s="11"/>
      <c r="F8" s="11"/>
      <c r="G8" s="11"/>
      <c r="H8" s="11"/>
    </row>
    <row r="9" spans="2:8" ht="15" customHeight="1" x14ac:dyDescent="0.35">
      <c r="B9" s="12" t="s">
        <v>10</v>
      </c>
      <c r="C9" s="12"/>
      <c r="D9" s="11" t="s">
        <v>11</v>
      </c>
      <c r="E9" s="11"/>
      <c r="F9" s="11"/>
      <c r="G9" s="11"/>
      <c r="H9" s="11"/>
    </row>
    <row r="10" spans="2:8" ht="15" customHeight="1" x14ac:dyDescent="0.35">
      <c r="B10" s="12" t="s">
        <v>12</v>
      </c>
      <c r="C10" s="12"/>
      <c r="D10" s="11" t="s">
        <v>13</v>
      </c>
      <c r="E10" s="11"/>
      <c r="F10" s="11"/>
      <c r="G10" s="11"/>
      <c r="H10" s="11"/>
    </row>
    <row r="11" spans="2:8" ht="15" customHeight="1" x14ac:dyDescent="0.35">
      <c r="B11" s="12" t="s">
        <v>14</v>
      </c>
      <c r="C11" s="12"/>
      <c r="D11" s="11" t="s">
        <v>15</v>
      </c>
      <c r="E11" s="11"/>
      <c r="F11" s="11"/>
      <c r="G11" s="11"/>
      <c r="H11" s="11"/>
    </row>
    <row r="12" spans="2:8" ht="15" customHeight="1" x14ac:dyDescent="0.35">
      <c r="B12" s="12" t="s">
        <v>16</v>
      </c>
      <c r="C12" s="12"/>
      <c r="D12" s="11" t="s">
        <v>17</v>
      </c>
      <c r="E12" s="11"/>
      <c r="F12" s="11"/>
      <c r="G12" s="11"/>
      <c r="H12" s="11"/>
    </row>
    <row r="13" spans="2:8" ht="15" customHeight="1" x14ac:dyDescent="0.35">
      <c r="B13" s="12" t="s">
        <v>18</v>
      </c>
      <c r="C13" s="12"/>
      <c r="D13" s="11" t="s">
        <v>19</v>
      </c>
      <c r="E13" s="11"/>
      <c r="F13" s="11"/>
      <c r="G13" s="11"/>
      <c r="H13" s="11"/>
    </row>
    <row r="14" spans="2:8" ht="15" customHeight="1" x14ac:dyDescent="0.35">
      <c r="B14" s="12" t="s">
        <v>20</v>
      </c>
      <c r="C14" s="12"/>
      <c r="D14" s="11" t="s">
        <v>21</v>
      </c>
      <c r="E14" s="11"/>
      <c r="F14" s="11"/>
      <c r="G14" s="11"/>
      <c r="H14" s="11"/>
    </row>
    <row r="16" spans="2:8" ht="15" customHeight="1" x14ac:dyDescent="0.35">
      <c r="B16" s="10" t="s">
        <v>22</v>
      </c>
      <c r="C16" s="10"/>
      <c r="D16" s="10"/>
      <c r="E16" s="10"/>
      <c r="F16" s="10"/>
      <c r="G16" s="10"/>
      <c r="H16" s="10"/>
    </row>
    <row r="18" spans="2:8" ht="15" customHeight="1" x14ac:dyDescent="0.35">
      <c r="B18" s="9" t="s">
        <v>23</v>
      </c>
      <c r="C18" s="9"/>
      <c r="D18" s="9"/>
      <c r="E18" s="9"/>
      <c r="F18" s="9"/>
      <c r="G18" s="9"/>
      <c r="H18" s="9"/>
    </row>
    <row r="19" spans="2:8" ht="15" customHeight="1" x14ac:dyDescent="0.35">
      <c r="B19" s="8" t="s">
        <v>24</v>
      </c>
      <c r="C19" s="8"/>
      <c r="D19" s="7" t="s">
        <v>25</v>
      </c>
      <c r="E19" s="7"/>
      <c r="F19" s="7"/>
      <c r="G19" s="7"/>
      <c r="H19" s="7"/>
    </row>
    <row r="20" spans="2:8" ht="15" customHeight="1" x14ac:dyDescent="0.35">
      <c r="B20" s="8" t="s">
        <v>26</v>
      </c>
      <c r="C20" s="8"/>
      <c r="D20" s="7" t="s">
        <v>27</v>
      </c>
      <c r="E20" s="7"/>
      <c r="F20" s="7"/>
      <c r="G20" s="7"/>
      <c r="H20" s="7"/>
    </row>
    <row r="21" spans="2:8" ht="15" customHeight="1" x14ac:dyDescent="0.35">
      <c r="B21" s="8" t="s">
        <v>28</v>
      </c>
      <c r="C21" s="8"/>
      <c r="D21" s="7" t="s">
        <v>29</v>
      </c>
      <c r="E21" s="7"/>
      <c r="F21" s="7"/>
      <c r="G21" s="7"/>
      <c r="H21" s="7"/>
    </row>
    <row r="22" spans="2:8" ht="15" customHeight="1" x14ac:dyDescent="0.35">
      <c r="B22" s="8" t="s">
        <v>30</v>
      </c>
      <c r="C22" s="8"/>
      <c r="D22" s="7" t="s">
        <v>31</v>
      </c>
      <c r="E22" s="7"/>
      <c r="F22" s="7"/>
      <c r="G22" s="7"/>
      <c r="H22" s="7"/>
    </row>
    <row r="23" spans="2:8" ht="15" customHeight="1" x14ac:dyDescent="0.35">
      <c r="B23" s="8" t="s">
        <v>32</v>
      </c>
      <c r="C23" s="8"/>
      <c r="D23" s="7" t="s">
        <v>33</v>
      </c>
      <c r="E23" s="7"/>
      <c r="F23" s="7"/>
      <c r="G23" s="7"/>
      <c r="H23" s="7"/>
    </row>
  </sheetData>
  <mergeCells count="34">
    <mergeCell ref="B21:C21"/>
    <mergeCell ref="D21:H21"/>
    <mergeCell ref="B22:C22"/>
    <mergeCell ref="D22:H22"/>
    <mergeCell ref="B23:C23"/>
    <mergeCell ref="D23:H23"/>
    <mergeCell ref="B18:H18"/>
    <mergeCell ref="B19:C19"/>
    <mergeCell ref="D19:H19"/>
    <mergeCell ref="B20:C20"/>
    <mergeCell ref="D20:H20"/>
    <mergeCell ref="B13:C13"/>
    <mergeCell ref="D13:H13"/>
    <mergeCell ref="B14:C14"/>
    <mergeCell ref="D14:H14"/>
    <mergeCell ref="B16:H16"/>
    <mergeCell ref="B10:C10"/>
    <mergeCell ref="D10:H10"/>
    <mergeCell ref="B11:C11"/>
    <mergeCell ref="D11:H11"/>
    <mergeCell ref="B12:C12"/>
    <mergeCell ref="D12:H12"/>
    <mergeCell ref="B7:C7"/>
    <mergeCell ref="D7:H7"/>
    <mergeCell ref="B8:C8"/>
    <mergeCell ref="D8:H8"/>
    <mergeCell ref="B9:C9"/>
    <mergeCell ref="D9:H9"/>
    <mergeCell ref="B2:H2"/>
    <mergeCell ref="B3:H3"/>
    <mergeCell ref="B5:C5"/>
    <mergeCell ref="D5:H5"/>
    <mergeCell ref="B6:C6"/>
    <mergeCell ref="D6:H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9"/>
  <sheetViews>
    <sheetView showGridLines="0" zoomScaleNormal="100" workbookViewId="0"/>
  </sheetViews>
  <sheetFormatPr defaultColWidth="8.6328125" defaultRowHeight="14.5" x14ac:dyDescent="0.35"/>
  <cols>
    <col min="1" max="1" width="2" customWidth="1"/>
    <col min="2" max="2" width="38" customWidth="1"/>
    <col min="3" max="5" width="20" customWidth="1"/>
    <col min="6" max="7" width="22" customWidth="1"/>
  </cols>
  <sheetData>
    <row r="1" spans="2:7" ht="24" customHeight="1" x14ac:dyDescent="0.35">
      <c r="B1" s="6" t="s">
        <v>34</v>
      </c>
      <c r="C1" s="6"/>
      <c r="D1" s="6"/>
      <c r="E1" s="6"/>
      <c r="F1" s="6"/>
      <c r="G1" s="6"/>
    </row>
    <row r="2" spans="2:7" ht="15" customHeight="1" x14ac:dyDescent="0.35">
      <c r="B2" s="15" t="s">
        <v>35</v>
      </c>
      <c r="C2" s="15" t="s">
        <v>36</v>
      </c>
      <c r="D2" s="15" t="s">
        <v>37</v>
      </c>
      <c r="E2" s="15" t="s">
        <v>38</v>
      </c>
      <c r="F2" s="5" t="s">
        <v>39</v>
      </c>
      <c r="G2" s="5"/>
    </row>
    <row r="3" spans="2:7" ht="15" customHeight="1" x14ac:dyDescent="0.35">
      <c r="B3" s="4" t="s">
        <v>40</v>
      </c>
      <c r="C3" s="4"/>
      <c r="D3" s="4"/>
      <c r="E3" s="4"/>
      <c r="F3" s="4"/>
      <c r="G3" s="4"/>
    </row>
    <row r="4" spans="2:7" ht="15" customHeight="1" x14ac:dyDescent="0.35">
      <c r="B4" s="16" t="s">
        <v>41</v>
      </c>
      <c r="C4" s="17">
        <v>567.89</v>
      </c>
      <c r="D4" s="17">
        <v>685.64</v>
      </c>
      <c r="E4" s="18">
        <f>C4-D4</f>
        <v>-117.75</v>
      </c>
      <c r="F4" s="3">
        <f>(C4-D4)/ABS(D4)</f>
        <v>-0.17173735488011202</v>
      </c>
      <c r="G4" s="3"/>
    </row>
    <row r="5" spans="2:7" ht="15" customHeight="1" x14ac:dyDescent="0.35">
      <c r="B5" s="20" t="s">
        <v>42</v>
      </c>
      <c r="C5" s="21">
        <v>44.64</v>
      </c>
      <c r="D5" s="21">
        <v>11.4</v>
      </c>
      <c r="E5" s="22">
        <f>C5-D5</f>
        <v>33.24</v>
      </c>
      <c r="F5" s="2">
        <f>(C5-D5)/ABS(D5)</f>
        <v>2.9157894736842107</v>
      </c>
      <c r="G5" s="2"/>
    </row>
    <row r="6" spans="2:7" ht="15" customHeight="1" x14ac:dyDescent="0.35">
      <c r="B6" s="24" t="s">
        <v>43</v>
      </c>
      <c r="C6" s="18">
        <f>C4+C5</f>
        <v>612.53</v>
      </c>
      <c r="D6" s="18">
        <f>D4+D5</f>
        <v>697.04</v>
      </c>
      <c r="E6" s="18">
        <f>C6-D6</f>
        <v>-84.509999999999991</v>
      </c>
      <c r="F6" s="3">
        <f>(C6-D6)/ABS(D6)</f>
        <v>-0.12124124870882588</v>
      </c>
      <c r="G6" s="3"/>
    </row>
    <row r="8" spans="2:7" ht="15" customHeight="1" x14ac:dyDescent="0.35">
      <c r="B8" s="4" t="s">
        <v>44</v>
      </c>
      <c r="C8" s="4"/>
      <c r="D8" s="4"/>
      <c r="E8" s="4"/>
      <c r="F8" s="4"/>
      <c r="G8" s="4"/>
    </row>
    <row r="9" spans="2:7" ht="15" customHeight="1" x14ac:dyDescent="0.35">
      <c r="B9" s="20" t="s">
        <v>45</v>
      </c>
      <c r="C9" s="21">
        <v>455.84</v>
      </c>
      <c r="D9" s="21">
        <v>470.73</v>
      </c>
      <c r="E9" s="22">
        <f t="shared" ref="E9:E14" si="0">C9-D9</f>
        <v>-14.890000000000043</v>
      </c>
      <c r="F9" s="2">
        <f t="shared" ref="F9:F14" si="1">(C9-D9)/ABS(D9)</f>
        <v>-3.1631720944065689E-2</v>
      </c>
      <c r="G9" s="2"/>
    </row>
    <row r="10" spans="2:7" ht="15" customHeight="1" x14ac:dyDescent="0.35">
      <c r="B10" s="16" t="s">
        <v>46</v>
      </c>
      <c r="C10" s="17">
        <v>36.58</v>
      </c>
      <c r="D10" s="17">
        <v>22.66</v>
      </c>
      <c r="E10" s="18">
        <f t="shared" si="0"/>
        <v>13.919999999999998</v>
      </c>
      <c r="F10" s="3">
        <f t="shared" si="1"/>
        <v>0.61429832303618703</v>
      </c>
      <c r="G10" s="3"/>
    </row>
    <row r="11" spans="2:7" ht="15" customHeight="1" x14ac:dyDescent="0.35">
      <c r="B11" s="20" t="s">
        <v>47</v>
      </c>
      <c r="C11" s="21">
        <v>13.12</v>
      </c>
      <c r="D11" s="21">
        <v>6.79</v>
      </c>
      <c r="E11" s="22">
        <f t="shared" si="0"/>
        <v>6.3299999999999992</v>
      </c>
      <c r="F11" s="2">
        <f t="shared" si="1"/>
        <v>0.93225331369661257</v>
      </c>
      <c r="G11" s="2"/>
    </row>
    <row r="12" spans="2:7" ht="15" customHeight="1" x14ac:dyDescent="0.35">
      <c r="B12" s="16" t="s">
        <v>48</v>
      </c>
      <c r="C12" s="17">
        <v>259.68</v>
      </c>
      <c r="D12" s="17">
        <v>455.54</v>
      </c>
      <c r="E12" s="18">
        <f t="shared" si="0"/>
        <v>-195.86</v>
      </c>
      <c r="F12" s="3">
        <f t="shared" si="1"/>
        <v>-0.4299512666286166</v>
      </c>
      <c r="G12" s="3"/>
    </row>
    <row r="13" spans="2:7" ht="15" customHeight="1" x14ac:dyDescent="0.35">
      <c r="B13" s="20" t="s">
        <v>49</v>
      </c>
      <c r="C13" s="21">
        <v>104.71</v>
      </c>
      <c r="D13" s="21">
        <v>111.19</v>
      </c>
      <c r="E13" s="22">
        <f t="shared" si="0"/>
        <v>-6.480000000000004</v>
      </c>
      <c r="F13" s="2">
        <f t="shared" si="1"/>
        <v>-5.8278622178253477E-2</v>
      </c>
      <c r="G13" s="2"/>
    </row>
    <row r="14" spans="2:7" ht="15" customHeight="1" x14ac:dyDescent="0.35">
      <c r="B14" s="24" t="s">
        <v>50</v>
      </c>
      <c r="C14" s="18">
        <f>C9+C10+C11+C12+C13</f>
        <v>869.93000000000006</v>
      </c>
      <c r="D14" s="18">
        <f>D9+D10+D11+D12+D13</f>
        <v>1066.9100000000001</v>
      </c>
      <c r="E14" s="18">
        <f t="shared" si="0"/>
        <v>-196.98000000000002</v>
      </c>
      <c r="F14" s="3">
        <f t="shared" si="1"/>
        <v>-0.1846266320495637</v>
      </c>
      <c r="G14" s="3"/>
    </row>
    <row r="16" spans="2:7" ht="15" customHeight="1" x14ac:dyDescent="0.35">
      <c r="B16" s="24" t="s">
        <v>51</v>
      </c>
      <c r="C16" s="18">
        <f>C6-C14</f>
        <v>-257.40000000000009</v>
      </c>
      <c r="D16" s="18">
        <f>D6-D14</f>
        <v>-369.87000000000012</v>
      </c>
      <c r="E16" s="18">
        <f>C16-D16</f>
        <v>112.47000000000003</v>
      </c>
      <c r="F16" s="3">
        <f>(C16-D16)/ABS(D16)</f>
        <v>0.30407981182577659</v>
      </c>
      <c r="G16" s="3"/>
    </row>
    <row r="17" spans="2:7" ht="15" customHeight="1" x14ac:dyDescent="0.35">
      <c r="B17" s="20" t="s">
        <v>52</v>
      </c>
      <c r="C17" s="21">
        <v>0</v>
      </c>
      <c r="D17" s="21">
        <v>0</v>
      </c>
      <c r="E17" s="22">
        <f>C17-D17</f>
        <v>0</v>
      </c>
      <c r="F17" s="25" t="s">
        <v>53</v>
      </c>
    </row>
    <row r="18" spans="2:7" ht="15" customHeight="1" x14ac:dyDescent="0.35">
      <c r="B18" s="24" t="s">
        <v>54</v>
      </c>
      <c r="C18" s="18">
        <f>C16-C17</f>
        <v>-257.40000000000009</v>
      </c>
      <c r="D18" s="18">
        <f>D16-D17</f>
        <v>-369.87000000000012</v>
      </c>
      <c r="E18" s="18">
        <f>C18-D18</f>
        <v>112.47000000000003</v>
      </c>
      <c r="F18" s="3">
        <f>(C18-D18)/ABS(D18)</f>
        <v>0.30407981182577659</v>
      </c>
      <c r="G18" s="3"/>
    </row>
    <row r="20" spans="2:7" ht="15" customHeight="1" x14ac:dyDescent="0.35">
      <c r="B20" s="16" t="s">
        <v>55</v>
      </c>
      <c r="C20" s="17">
        <v>-0.04</v>
      </c>
      <c r="D20" s="17">
        <v>-0.05</v>
      </c>
      <c r="E20" s="18">
        <f>C20-D20</f>
        <v>1.0000000000000002E-2</v>
      </c>
      <c r="F20" s="3">
        <f>(C20-D20)/ABS(D20)</f>
        <v>0.20000000000000004</v>
      </c>
      <c r="G20" s="3"/>
    </row>
    <row r="21" spans="2:7" ht="15" customHeight="1" x14ac:dyDescent="0.35">
      <c r="B21" s="26" t="s">
        <v>56</v>
      </c>
      <c r="C21" s="22">
        <f>C18+C20</f>
        <v>-257.44000000000011</v>
      </c>
      <c r="D21" s="22">
        <f>D18+D20</f>
        <v>-369.92000000000013</v>
      </c>
      <c r="E21" s="22">
        <f>C21-D21</f>
        <v>112.48000000000002</v>
      </c>
      <c r="F21" s="2">
        <f>(C21-D21)/ABS(D21)</f>
        <v>0.30406574394463665</v>
      </c>
      <c r="G21" s="2"/>
    </row>
    <row r="23" spans="2:7" ht="15" customHeight="1" x14ac:dyDescent="0.35">
      <c r="B23" s="4" t="s">
        <v>57</v>
      </c>
      <c r="C23" s="4"/>
      <c r="D23" s="4"/>
      <c r="E23" s="4"/>
      <c r="F23" s="4"/>
      <c r="G23" s="4"/>
    </row>
    <row r="24" spans="2:7" ht="15" customHeight="1" x14ac:dyDescent="0.35">
      <c r="B24" s="15" t="s">
        <v>58</v>
      </c>
      <c r="C24" s="15" t="s">
        <v>36</v>
      </c>
      <c r="D24" s="15" t="s">
        <v>37</v>
      </c>
      <c r="E24" s="15" t="s">
        <v>59</v>
      </c>
      <c r="F24" s="5"/>
      <c r="G24" s="5"/>
    </row>
    <row r="25" spans="2:7" ht="15" customHeight="1" x14ac:dyDescent="0.35">
      <c r="B25" s="20" t="s">
        <v>60</v>
      </c>
      <c r="C25" s="23">
        <f>(C6-C9)/C6</f>
        <v>0.25580787879777317</v>
      </c>
      <c r="D25" s="23">
        <f>(D6-D9)/D6</f>
        <v>0.32467290255939396</v>
      </c>
      <c r="E25" s="23">
        <f>C25-D25</f>
        <v>-6.8865023761620792E-2</v>
      </c>
      <c r="F25" s="1"/>
      <c r="G25" s="1"/>
    </row>
    <row r="26" spans="2:7" ht="15" customHeight="1" x14ac:dyDescent="0.35">
      <c r="B26" s="16" t="s">
        <v>61</v>
      </c>
      <c r="C26" s="19">
        <f>(C16+C12+C11)/C6</f>
        <v>2.5141625716291308E-2</v>
      </c>
      <c r="D26" s="19">
        <f>(D16+D12+D11)/D6</f>
        <v>0.13264661999311361</v>
      </c>
      <c r="E26" s="19">
        <f>C26-D26</f>
        <v>-0.10750499427682231</v>
      </c>
      <c r="F26" s="1"/>
      <c r="G26" s="1"/>
    </row>
    <row r="27" spans="2:7" ht="15" customHeight="1" x14ac:dyDescent="0.35">
      <c r="B27" s="20" t="s">
        <v>62</v>
      </c>
      <c r="C27" s="23">
        <f>C18/C6</f>
        <v>-0.42022431554372863</v>
      </c>
      <c r="D27" s="23">
        <f>D18/D6</f>
        <v>-0.53062951910937695</v>
      </c>
      <c r="E27" s="23">
        <f>C27-D27</f>
        <v>0.11040520356564831</v>
      </c>
      <c r="F27" s="1"/>
      <c r="G27" s="1"/>
    </row>
    <row r="29" spans="2:7" ht="21.75" customHeight="1" x14ac:dyDescent="0.35">
      <c r="B29" s="27" t="s">
        <v>63</v>
      </c>
    </row>
  </sheetData>
  <mergeCells count="22">
    <mergeCell ref="F26:G26"/>
    <mergeCell ref="F27:G27"/>
    <mergeCell ref="F20:G20"/>
    <mergeCell ref="F21:G21"/>
    <mergeCell ref="B23:G23"/>
    <mergeCell ref="F24:G24"/>
    <mergeCell ref="F25:G25"/>
    <mergeCell ref="F12:G12"/>
    <mergeCell ref="F13:G13"/>
    <mergeCell ref="F14:G14"/>
    <mergeCell ref="F16:G16"/>
    <mergeCell ref="F18:G18"/>
    <mergeCell ref="F6:G6"/>
    <mergeCell ref="B8:G8"/>
    <mergeCell ref="F9:G9"/>
    <mergeCell ref="F10:G10"/>
    <mergeCell ref="F11:G11"/>
    <mergeCell ref="B1:G1"/>
    <mergeCell ref="F2:G2"/>
    <mergeCell ref="B3:G3"/>
    <mergeCell ref="F4:G4"/>
    <mergeCell ref="F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45"/>
  <sheetViews>
    <sheetView showGridLines="0" zoomScaleNormal="100" workbookViewId="0">
      <selection activeCell="C33" sqref="C33"/>
    </sheetView>
  </sheetViews>
  <sheetFormatPr defaultColWidth="8.6328125" defaultRowHeight="14.5" x14ac:dyDescent="0.35"/>
  <cols>
    <col min="1" max="1" width="2" customWidth="1"/>
    <col min="2" max="2" width="38" customWidth="1"/>
    <col min="3" max="5" width="20" customWidth="1"/>
    <col min="6" max="7" width="22" customWidth="1"/>
  </cols>
  <sheetData>
    <row r="1" spans="2:7" ht="24" customHeight="1" x14ac:dyDescent="0.35">
      <c r="B1" s="6" t="s">
        <v>64</v>
      </c>
      <c r="C1" s="6"/>
      <c r="D1" s="6"/>
      <c r="E1" s="6"/>
      <c r="F1" s="6"/>
      <c r="G1" s="6"/>
    </row>
    <row r="2" spans="2:7" ht="15" customHeight="1" x14ac:dyDescent="0.35">
      <c r="B2" s="15" t="s">
        <v>35</v>
      </c>
      <c r="C2" s="15" t="s">
        <v>36</v>
      </c>
      <c r="D2" s="15" t="s">
        <v>37</v>
      </c>
      <c r="E2" s="15" t="s">
        <v>38</v>
      </c>
      <c r="F2" s="5" t="s">
        <v>39</v>
      </c>
      <c r="G2" s="5"/>
    </row>
    <row r="3" spans="2:7" ht="15" customHeight="1" x14ac:dyDescent="0.35">
      <c r="B3" s="4" t="s">
        <v>65</v>
      </c>
      <c r="C3" s="4"/>
      <c r="D3" s="4"/>
      <c r="E3" s="4"/>
      <c r="F3" s="4"/>
      <c r="G3" s="4"/>
    </row>
    <row r="4" spans="2:7" ht="15" customHeight="1" x14ac:dyDescent="0.35">
      <c r="B4" s="39" t="s">
        <v>66</v>
      </c>
      <c r="C4" s="39"/>
      <c r="D4" s="39"/>
      <c r="E4" s="39"/>
      <c r="F4" s="39"/>
      <c r="G4" s="39"/>
    </row>
    <row r="5" spans="2:7" ht="15" customHeight="1" x14ac:dyDescent="0.35">
      <c r="B5" s="20" t="s">
        <v>67</v>
      </c>
      <c r="C5" s="21">
        <v>2543.5300000000002</v>
      </c>
      <c r="D5" s="21">
        <v>2489.5700000000002</v>
      </c>
      <c r="E5" s="22">
        <f t="shared" ref="E5:E11" si="0">C5-D5</f>
        <v>53.960000000000036</v>
      </c>
      <c r="F5" s="2">
        <f t="shared" ref="F5:F11" si="1">(C5-D5)/ABS(D5)</f>
        <v>2.1674425704037256E-2</v>
      </c>
      <c r="G5" s="2"/>
    </row>
    <row r="6" spans="2:7" ht="15" customHeight="1" x14ac:dyDescent="0.35">
      <c r="B6" s="16" t="s">
        <v>68</v>
      </c>
      <c r="C6" s="17">
        <v>0.5</v>
      </c>
      <c r="D6" s="17">
        <v>0.73</v>
      </c>
      <c r="E6" s="18">
        <f t="shared" si="0"/>
        <v>-0.22999999999999998</v>
      </c>
      <c r="F6" s="3">
        <f t="shared" si="1"/>
        <v>-0.31506849315068491</v>
      </c>
      <c r="G6" s="3"/>
    </row>
    <row r="7" spans="2:7" ht="15" customHeight="1" x14ac:dyDescent="0.35">
      <c r="B7" s="20" t="s">
        <v>69</v>
      </c>
      <c r="C7" s="21">
        <v>960.6</v>
      </c>
      <c r="D7" s="21">
        <v>653.95000000000005</v>
      </c>
      <c r="E7" s="22">
        <f t="shared" si="0"/>
        <v>306.64999999999998</v>
      </c>
      <c r="F7" s="2">
        <f t="shared" si="1"/>
        <v>0.46891964217447812</v>
      </c>
      <c r="G7" s="2"/>
    </row>
    <row r="8" spans="2:7" ht="15" customHeight="1" x14ac:dyDescent="0.35">
      <c r="B8" s="16" t="s">
        <v>70</v>
      </c>
      <c r="C8" s="17">
        <v>0.01</v>
      </c>
      <c r="D8" s="17">
        <v>0.13</v>
      </c>
      <c r="E8" s="18">
        <f t="shared" si="0"/>
        <v>-0.12000000000000001</v>
      </c>
      <c r="F8" s="3">
        <f t="shared" si="1"/>
        <v>-0.92307692307692313</v>
      </c>
      <c r="G8" s="3"/>
    </row>
    <row r="9" spans="2:7" ht="15" customHeight="1" x14ac:dyDescent="0.35">
      <c r="B9" s="20" t="s">
        <v>71</v>
      </c>
      <c r="C9" s="21">
        <v>47.29</v>
      </c>
      <c r="D9" s="21">
        <v>46.87</v>
      </c>
      <c r="E9" s="22">
        <f t="shared" si="0"/>
        <v>0.42000000000000171</v>
      </c>
      <c r="F9" s="2">
        <f t="shared" si="1"/>
        <v>8.9609558352891343E-3</v>
      </c>
      <c r="G9" s="2"/>
    </row>
    <row r="10" spans="2:7" ht="15" customHeight="1" x14ac:dyDescent="0.35">
      <c r="B10" s="16" t="s">
        <v>72</v>
      </c>
      <c r="C10" s="17">
        <v>22.49</v>
      </c>
      <c r="D10" s="17">
        <v>23.08</v>
      </c>
      <c r="E10" s="18">
        <f t="shared" si="0"/>
        <v>-0.58999999999999986</v>
      </c>
      <c r="F10" s="3">
        <f t="shared" si="1"/>
        <v>-2.5563258232235698E-2</v>
      </c>
      <c r="G10" s="3"/>
    </row>
    <row r="11" spans="2:7" ht="15" customHeight="1" x14ac:dyDescent="0.35">
      <c r="B11" s="26" t="s">
        <v>73</v>
      </c>
      <c r="C11" s="22">
        <f>SUM(C5,C6,C7,C8,C9,C10)</f>
        <v>3574.42</v>
      </c>
      <c r="D11" s="22">
        <f>SUM(D5,D6,D7,D8,D9,D10)</f>
        <v>3214.33</v>
      </c>
      <c r="E11" s="22">
        <f t="shared" si="0"/>
        <v>360.09000000000015</v>
      </c>
      <c r="F11" s="2">
        <f t="shared" si="1"/>
        <v>0.11202645652437682</v>
      </c>
      <c r="G11" s="2"/>
    </row>
    <row r="13" spans="2:7" ht="15" customHeight="1" x14ac:dyDescent="0.35">
      <c r="B13" s="39" t="s">
        <v>74</v>
      </c>
      <c r="C13" s="39"/>
      <c r="D13" s="39"/>
      <c r="E13" s="39"/>
      <c r="F13" s="39"/>
      <c r="G13" s="39"/>
    </row>
    <row r="14" spans="2:7" ht="15" customHeight="1" x14ac:dyDescent="0.35">
      <c r="B14" s="16" t="s">
        <v>75</v>
      </c>
      <c r="C14" s="17">
        <v>0.02</v>
      </c>
      <c r="D14" s="17">
        <v>0.02</v>
      </c>
      <c r="E14" s="18">
        <f t="shared" ref="E14:E22" si="2">C14-D14</f>
        <v>0</v>
      </c>
      <c r="F14" s="3">
        <f t="shared" ref="F14:F22" si="3">(C14-D14)/ABS(D14)</f>
        <v>0</v>
      </c>
      <c r="G14" s="3"/>
    </row>
    <row r="15" spans="2:7" ht="15" customHeight="1" x14ac:dyDescent="0.35">
      <c r="B15" s="20" t="s">
        <v>76</v>
      </c>
      <c r="C15" s="21">
        <v>270.56</v>
      </c>
      <c r="D15" s="21">
        <v>315.54000000000002</v>
      </c>
      <c r="E15" s="22">
        <f t="shared" si="2"/>
        <v>-44.980000000000018</v>
      </c>
      <c r="F15" s="2">
        <f t="shared" si="3"/>
        <v>-0.14254928059833941</v>
      </c>
      <c r="G15" s="2"/>
    </row>
    <row r="16" spans="2:7" ht="15" customHeight="1" x14ac:dyDescent="0.35">
      <c r="B16" s="16" t="s">
        <v>77</v>
      </c>
      <c r="C16" s="17">
        <v>385.78</v>
      </c>
      <c r="D16" s="17">
        <v>141.22</v>
      </c>
      <c r="E16" s="18">
        <f t="shared" si="2"/>
        <v>244.55999999999997</v>
      </c>
      <c r="F16" s="3">
        <f t="shared" si="3"/>
        <v>1.7317660388047018</v>
      </c>
      <c r="G16" s="3"/>
    </row>
    <row r="17" spans="2:7" ht="15" customHeight="1" x14ac:dyDescent="0.35">
      <c r="B17" s="20" t="s">
        <v>78</v>
      </c>
      <c r="C17" s="21">
        <v>5.69</v>
      </c>
      <c r="D17" s="21">
        <v>5.44</v>
      </c>
      <c r="E17" s="22">
        <f t="shared" si="2"/>
        <v>0.25</v>
      </c>
      <c r="F17" s="2">
        <f t="shared" si="3"/>
        <v>4.5955882352941173E-2</v>
      </c>
      <c r="G17" s="2"/>
    </row>
    <row r="18" spans="2:7" ht="15" customHeight="1" x14ac:dyDescent="0.35">
      <c r="B18" s="16" t="s">
        <v>79</v>
      </c>
      <c r="C18" s="17">
        <v>7</v>
      </c>
      <c r="D18" s="17">
        <v>6.3</v>
      </c>
      <c r="E18" s="18">
        <f t="shared" si="2"/>
        <v>0.70000000000000018</v>
      </c>
      <c r="F18" s="3">
        <f t="shared" si="3"/>
        <v>0.11111111111111115</v>
      </c>
      <c r="G18" s="3"/>
    </row>
    <row r="19" spans="2:7" ht="15" customHeight="1" x14ac:dyDescent="0.35">
      <c r="B19" s="20" t="s">
        <v>80</v>
      </c>
      <c r="C19" s="21">
        <v>17.61</v>
      </c>
      <c r="D19" s="21">
        <v>25.82</v>
      </c>
      <c r="E19" s="22">
        <f t="shared" si="2"/>
        <v>-8.2100000000000009</v>
      </c>
      <c r="F19" s="2">
        <f t="shared" si="3"/>
        <v>-0.31797056545313712</v>
      </c>
      <c r="G19" s="2"/>
    </row>
    <row r="20" spans="2:7" ht="15" customHeight="1" x14ac:dyDescent="0.35">
      <c r="B20" s="16" t="s">
        <v>81</v>
      </c>
      <c r="C20" s="17">
        <v>72.75</v>
      </c>
      <c r="D20" s="17">
        <v>106.3</v>
      </c>
      <c r="E20" s="18">
        <f t="shared" si="2"/>
        <v>-33.549999999999997</v>
      </c>
      <c r="F20" s="3">
        <f t="shared" si="3"/>
        <v>-0.31561618062088426</v>
      </c>
      <c r="G20" s="3"/>
    </row>
    <row r="21" spans="2:7" ht="15" customHeight="1" x14ac:dyDescent="0.35">
      <c r="B21" s="26" t="s">
        <v>82</v>
      </c>
      <c r="C21" s="22">
        <f>SUM(C14,C15,C16,C17,C18,C19,C20)</f>
        <v>759.41</v>
      </c>
      <c r="D21" s="22">
        <f>SUM(D14,D15,D16,D17,D18,D19,D20)</f>
        <v>600.64</v>
      </c>
      <c r="E21" s="22">
        <f t="shared" si="2"/>
        <v>158.76999999999998</v>
      </c>
      <c r="F21" s="2">
        <f t="shared" si="3"/>
        <v>0.26433470964304739</v>
      </c>
      <c r="G21" s="2"/>
    </row>
    <row r="22" spans="2:7" ht="15" customHeight="1" x14ac:dyDescent="0.35">
      <c r="B22" s="24" t="s">
        <v>83</v>
      </c>
      <c r="C22" s="18">
        <f>C11+C21</f>
        <v>4333.83</v>
      </c>
      <c r="D22" s="18">
        <f>D11+D21</f>
        <v>3814.97</v>
      </c>
      <c r="E22" s="18">
        <f t="shared" si="2"/>
        <v>518.86000000000013</v>
      </c>
      <c r="F22" s="3">
        <f t="shared" si="3"/>
        <v>0.136006311976241</v>
      </c>
      <c r="G22" s="3"/>
    </row>
    <row r="24" spans="2:7" ht="15" customHeight="1" x14ac:dyDescent="0.35">
      <c r="B24" s="4" t="s">
        <v>84</v>
      </c>
      <c r="C24" s="4"/>
      <c r="D24" s="4"/>
      <c r="E24" s="4"/>
      <c r="F24" s="4"/>
      <c r="G24" s="4"/>
    </row>
    <row r="25" spans="2:7" ht="15" customHeight="1" x14ac:dyDescent="0.35">
      <c r="B25" s="39" t="s">
        <v>85</v>
      </c>
      <c r="C25" s="39"/>
      <c r="D25" s="39"/>
      <c r="E25" s="39"/>
      <c r="F25" s="39"/>
      <c r="G25" s="39"/>
    </row>
    <row r="26" spans="2:7" ht="15" customHeight="1" x14ac:dyDescent="0.35">
      <c r="B26" s="16" t="s">
        <v>86</v>
      </c>
      <c r="C26" s="17">
        <v>22868.2</v>
      </c>
      <c r="D26" s="17">
        <v>22047.200000000001</v>
      </c>
      <c r="E26" s="18">
        <f>C26-D26</f>
        <v>821</v>
      </c>
      <c r="F26" s="3">
        <f>(C26-D26)/ABS(D26)</f>
        <v>3.7238288762291807E-2</v>
      </c>
      <c r="G26" s="3"/>
    </row>
    <row r="27" spans="2:7" ht="15" customHeight="1" x14ac:dyDescent="0.35">
      <c r="B27" s="20" t="s">
        <v>87</v>
      </c>
      <c r="C27" s="21">
        <v>-18975.72</v>
      </c>
      <c r="D27" s="21">
        <v>-18718.28</v>
      </c>
      <c r="E27" s="22">
        <f>C27-D27</f>
        <v>-257.44000000000233</v>
      </c>
      <c r="F27" s="2">
        <f>(C27-D27)/ABS(D27)</f>
        <v>-1.3753400419269417E-2</v>
      </c>
      <c r="G27" s="2"/>
    </row>
    <row r="28" spans="2:7" ht="15" customHeight="1" x14ac:dyDescent="0.35">
      <c r="B28" s="24" t="s">
        <v>88</v>
      </c>
      <c r="C28" s="18">
        <f>SUM(C26,C27)</f>
        <v>3892.4799999999996</v>
      </c>
      <c r="D28" s="18">
        <f>SUM(D26,D27)</f>
        <v>3328.9200000000019</v>
      </c>
      <c r="E28" s="18">
        <f>C28-D28</f>
        <v>563.55999999999767</v>
      </c>
      <c r="F28" s="3">
        <f>(C28-D28)/ABS(D28)</f>
        <v>0.16929214279706251</v>
      </c>
      <c r="G28" s="3"/>
    </row>
    <row r="30" spans="2:7" ht="15" customHeight="1" x14ac:dyDescent="0.35">
      <c r="B30" s="39" t="s">
        <v>89</v>
      </c>
      <c r="C30" s="39"/>
      <c r="D30" s="39"/>
      <c r="E30" s="39"/>
      <c r="F30" s="39"/>
      <c r="G30" s="39"/>
    </row>
    <row r="31" spans="2:7" ht="15" customHeight="1" x14ac:dyDescent="0.35">
      <c r="B31" s="20" t="s">
        <v>90</v>
      </c>
      <c r="C31" s="21">
        <v>134.61000000000001</v>
      </c>
      <c r="D31" s="21">
        <v>63.55</v>
      </c>
      <c r="E31" s="22">
        <f>C31-D31</f>
        <v>71.060000000000016</v>
      </c>
      <c r="F31" s="2">
        <f>(C31-D31)/ABS(D31)</f>
        <v>1.1181746656176241</v>
      </c>
      <c r="G31" s="2"/>
    </row>
    <row r="32" spans="2:7" ht="15" customHeight="1" x14ac:dyDescent="0.35">
      <c r="B32" s="16" t="s">
        <v>91</v>
      </c>
      <c r="C32" s="17">
        <v>15.99</v>
      </c>
      <c r="D32" s="17">
        <v>13.96</v>
      </c>
      <c r="E32" s="18">
        <f>C32-D32</f>
        <v>2.0299999999999994</v>
      </c>
      <c r="F32" s="3">
        <f>(C32-D32)/ABS(D32)</f>
        <v>0.14541547277936956</v>
      </c>
      <c r="G32" s="3"/>
    </row>
    <row r="33" spans="2:7" ht="15" customHeight="1" x14ac:dyDescent="0.35">
      <c r="B33" s="26" t="s">
        <v>92</v>
      </c>
      <c r="C33" s="22">
        <f>SUM(C31,C32)</f>
        <v>150.60000000000002</v>
      </c>
      <c r="D33" s="22">
        <f>SUM(D31,D32)</f>
        <v>77.509999999999991</v>
      </c>
      <c r="E33" s="22">
        <f>C33-D33</f>
        <v>73.090000000000032</v>
      </c>
      <c r="F33" s="2">
        <f>(C33-D33)/ABS(D33)</f>
        <v>0.94297509998709894</v>
      </c>
      <c r="G33" s="2"/>
    </row>
    <row r="35" spans="2:7" ht="15" customHeight="1" x14ac:dyDescent="0.35">
      <c r="B35" s="39" t="s">
        <v>93</v>
      </c>
      <c r="C35" s="39"/>
      <c r="D35" s="39"/>
      <c r="E35" s="39"/>
      <c r="F35" s="39"/>
      <c r="G35" s="39"/>
    </row>
    <row r="36" spans="2:7" ht="15" customHeight="1" x14ac:dyDescent="0.35">
      <c r="B36" s="16" t="s">
        <v>94</v>
      </c>
      <c r="C36" s="17">
        <v>28.35</v>
      </c>
      <c r="D36" s="17">
        <v>8.7100000000000009</v>
      </c>
      <c r="E36" s="18">
        <f t="shared" ref="E36:E43" si="4">C36-D36</f>
        <v>19.64</v>
      </c>
      <c r="F36" s="3">
        <f t="shared" ref="F36:F43" si="5">(C36-D36)/ABS(D36)</f>
        <v>2.2548794489092994</v>
      </c>
      <c r="G36" s="3"/>
    </row>
    <row r="37" spans="2:7" ht="15" customHeight="1" x14ac:dyDescent="0.35">
      <c r="B37" s="20" t="s">
        <v>95</v>
      </c>
      <c r="C37" s="21">
        <v>0.05</v>
      </c>
      <c r="D37" s="21">
        <v>0.05</v>
      </c>
      <c r="E37" s="22">
        <f t="shared" si="4"/>
        <v>0</v>
      </c>
      <c r="F37" s="2">
        <f t="shared" si="5"/>
        <v>0</v>
      </c>
      <c r="G37" s="2"/>
    </row>
    <row r="38" spans="2:7" ht="15" customHeight="1" x14ac:dyDescent="0.35">
      <c r="B38" s="16" t="s">
        <v>96</v>
      </c>
      <c r="C38" s="17">
        <v>253.18</v>
      </c>
      <c r="D38" s="17">
        <v>380.97</v>
      </c>
      <c r="E38" s="18">
        <f t="shared" si="4"/>
        <v>-127.79000000000002</v>
      </c>
      <c r="F38" s="3">
        <f t="shared" si="5"/>
        <v>-0.33543323621282517</v>
      </c>
      <c r="G38" s="3"/>
    </row>
    <row r="39" spans="2:7" ht="15" customHeight="1" x14ac:dyDescent="0.35">
      <c r="B39" s="20" t="s">
        <v>97</v>
      </c>
      <c r="C39" s="21">
        <v>7.2</v>
      </c>
      <c r="D39" s="21">
        <v>16.91</v>
      </c>
      <c r="E39" s="22">
        <f t="shared" si="4"/>
        <v>-9.7100000000000009</v>
      </c>
      <c r="F39" s="2">
        <f t="shared" si="5"/>
        <v>-0.57421643997634542</v>
      </c>
      <c r="G39" s="2"/>
    </row>
    <row r="40" spans="2:7" ht="15" customHeight="1" x14ac:dyDescent="0.35">
      <c r="B40" s="16" t="s">
        <v>98</v>
      </c>
      <c r="C40" s="17">
        <v>2.09</v>
      </c>
      <c r="D40" s="17">
        <v>2.02</v>
      </c>
      <c r="E40" s="18">
        <f t="shared" si="4"/>
        <v>6.999999999999984E-2</v>
      </c>
      <c r="F40" s="3">
        <f t="shared" si="5"/>
        <v>3.4653465346534573E-2</v>
      </c>
      <c r="G40" s="3"/>
    </row>
    <row r="41" spans="2:7" ht="15" customHeight="1" x14ac:dyDescent="0.35">
      <c r="B41" s="26" t="s">
        <v>99</v>
      </c>
      <c r="C41" s="22">
        <f>SUM(C36,C37,C38,C39,C40)</f>
        <v>290.86999999999995</v>
      </c>
      <c r="D41" s="22">
        <f>SUM(D36,D37,D38,D39,D40)</f>
        <v>408.66</v>
      </c>
      <c r="E41" s="22">
        <f t="shared" si="4"/>
        <v>-117.79000000000008</v>
      </c>
      <c r="F41" s="2">
        <f t="shared" si="5"/>
        <v>-0.28823471834777092</v>
      </c>
      <c r="G41" s="2"/>
    </row>
    <row r="42" spans="2:7" ht="15" customHeight="1" x14ac:dyDescent="0.35">
      <c r="B42" s="24" t="s">
        <v>100</v>
      </c>
      <c r="C42" s="18">
        <f>C33+C41</f>
        <v>441.46999999999997</v>
      </c>
      <c r="D42" s="18">
        <f>D33+D41</f>
        <v>486.17</v>
      </c>
      <c r="E42" s="18">
        <f t="shared" si="4"/>
        <v>-44.700000000000045</v>
      </c>
      <c r="F42" s="3">
        <f t="shared" si="5"/>
        <v>-9.1943147458707949E-2</v>
      </c>
      <c r="G42" s="3"/>
    </row>
    <row r="43" spans="2:7" ht="15" customHeight="1" x14ac:dyDescent="0.35">
      <c r="B43" s="26" t="s">
        <v>101</v>
      </c>
      <c r="C43" s="22">
        <f>C28+C42</f>
        <v>4333.95</v>
      </c>
      <c r="D43" s="22">
        <f>D28+D42</f>
        <v>3815.090000000002</v>
      </c>
      <c r="E43" s="22">
        <f t="shared" si="4"/>
        <v>518.85999999999785</v>
      </c>
      <c r="F43" s="2">
        <f t="shared" si="5"/>
        <v>0.13600203402803016</v>
      </c>
      <c r="G43" s="2"/>
    </row>
    <row r="45" spans="2:7" ht="21.75" customHeight="1" x14ac:dyDescent="0.35">
      <c r="B45" s="27" t="s">
        <v>102</v>
      </c>
    </row>
  </sheetData>
  <mergeCells count="39">
    <mergeCell ref="F40:G40"/>
    <mergeCell ref="F41:G41"/>
    <mergeCell ref="F42:G42"/>
    <mergeCell ref="F43:G43"/>
    <mergeCell ref="B35:G35"/>
    <mergeCell ref="F36:G36"/>
    <mergeCell ref="F37:G37"/>
    <mergeCell ref="F38:G38"/>
    <mergeCell ref="F39:G39"/>
    <mergeCell ref="F28:G28"/>
    <mergeCell ref="B30:G30"/>
    <mergeCell ref="F31:G31"/>
    <mergeCell ref="F32:G32"/>
    <mergeCell ref="F33:G33"/>
    <mergeCell ref="F22:G22"/>
    <mergeCell ref="B24:G24"/>
    <mergeCell ref="B25:G25"/>
    <mergeCell ref="F26:G26"/>
    <mergeCell ref="F27:G27"/>
    <mergeCell ref="F17:G17"/>
    <mergeCell ref="F18:G18"/>
    <mergeCell ref="F19:G19"/>
    <mergeCell ref="F20:G20"/>
    <mergeCell ref="F21:G21"/>
    <mergeCell ref="F11:G11"/>
    <mergeCell ref="B13:G13"/>
    <mergeCell ref="F14:G14"/>
    <mergeCell ref="F15:G15"/>
    <mergeCell ref="F16:G16"/>
    <mergeCell ref="F6:G6"/>
    <mergeCell ref="F7:G7"/>
    <mergeCell ref="F8:G8"/>
    <mergeCell ref="F9:G9"/>
    <mergeCell ref="F10:G10"/>
    <mergeCell ref="B1:G1"/>
    <mergeCell ref="F2:G2"/>
    <mergeCell ref="B3:G3"/>
    <mergeCell ref="B4:G4"/>
    <mergeCell ref="F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8"/>
  <sheetViews>
    <sheetView showGridLines="0" topLeftCell="A20" zoomScaleNormal="100" workbookViewId="0">
      <selection activeCell="C39" sqref="C39"/>
    </sheetView>
  </sheetViews>
  <sheetFormatPr defaultColWidth="8.6328125" defaultRowHeight="14.5" x14ac:dyDescent="0.35"/>
  <cols>
    <col min="1" max="1" width="2" customWidth="1"/>
    <col min="2" max="2" width="57.36328125" bestFit="1" customWidth="1"/>
    <col min="3" max="5" width="20" customWidth="1"/>
    <col min="6" max="7" width="22" customWidth="1"/>
  </cols>
  <sheetData>
    <row r="1" spans="2:7" ht="24" customHeight="1" x14ac:dyDescent="0.35">
      <c r="B1" s="6" t="s">
        <v>103</v>
      </c>
      <c r="C1" s="6"/>
      <c r="D1" s="6"/>
      <c r="E1" s="6"/>
      <c r="F1" s="6"/>
      <c r="G1" s="6"/>
    </row>
    <row r="2" spans="2:7" ht="15" customHeight="1" x14ac:dyDescent="0.35">
      <c r="B2" s="15" t="s">
        <v>35</v>
      </c>
      <c r="C2" s="15" t="s">
        <v>36</v>
      </c>
      <c r="D2" s="15" t="s">
        <v>37</v>
      </c>
      <c r="E2" s="15" t="s">
        <v>38</v>
      </c>
      <c r="F2" s="5" t="s">
        <v>39</v>
      </c>
      <c r="G2" s="5"/>
    </row>
    <row r="3" spans="2:7" ht="15" customHeight="1" x14ac:dyDescent="0.35">
      <c r="B3" s="4" t="s">
        <v>104</v>
      </c>
      <c r="C3" s="4"/>
      <c r="D3" s="4"/>
      <c r="E3" s="4"/>
      <c r="F3" s="4"/>
      <c r="G3" s="4"/>
    </row>
    <row r="4" spans="2:7" ht="15" customHeight="1" x14ac:dyDescent="0.35">
      <c r="B4" s="16" t="s">
        <v>105</v>
      </c>
      <c r="C4" s="17">
        <v>-257.39999999999998</v>
      </c>
      <c r="D4" s="17">
        <v>-372.55</v>
      </c>
      <c r="E4" s="18">
        <f t="shared" ref="E4:E19" si="0">C4-D4</f>
        <v>115.15000000000003</v>
      </c>
      <c r="F4" s="3">
        <f t="shared" ref="F4:F19" si="1">(C4-D4)/ABS(D4)</f>
        <v>0.30908602872097712</v>
      </c>
      <c r="G4" s="3"/>
    </row>
    <row r="5" spans="2:7" ht="15" customHeight="1" x14ac:dyDescent="0.35">
      <c r="B5" s="20" t="s">
        <v>106</v>
      </c>
      <c r="C5" s="21">
        <v>259.68</v>
      </c>
      <c r="D5" s="21">
        <v>455.54</v>
      </c>
      <c r="E5" s="22">
        <f t="shared" si="0"/>
        <v>-195.86</v>
      </c>
      <c r="F5" s="2">
        <f t="shared" si="1"/>
        <v>-0.4299512666286166</v>
      </c>
      <c r="G5" s="2"/>
    </row>
    <row r="6" spans="2:7" ht="15" customHeight="1" x14ac:dyDescent="0.35">
      <c r="B6" s="16" t="s">
        <v>107</v>
      </c>
      <c r="C6" s="17">
        <v>-12.33</v>
      </c>
      <c r="D6" s="17">
        <v>-7.18</v>
      </c>
      <c r="E6" s="18">
        <f t="shared" si="0"/>
        <v>-5.15</v>
      </c>
      <c r="F6" s="3">
        <f t="shared" si="1"/>
        <v>-0.71727019498607247</v>
      </c>
      <c r="G6" s="3"/>
    </row>
    <row r="7" spans="2:7" ht="15" customHeight="1" x14ac:dyDescent="0.35">
      <c r="B7" s="20" t="s">
        <v>108</v>
      </c>
      <c r="C7" s="21">
        <v>-27.61</v>
      </c>
      <c r="D7" s="21">
        <v>-1.5</v>
      </c>
      <c r="E7" s="22">
        <f t="shared" si="0"/>
        <v>-26.11</v>
      </c>
      <c r="F7" s="2">
        <f t="shared" si="1"/>
        <v>-17.406666666666666</v>
      </c>
      <c r="G7" s="2"/>
    </row>
    <row r="8" spans="2:7" ht="15" customHeight="1" x14ac:dyDescent="0.35">
      <c r="B8" s="16" t="s">
        <v>109</v>
      </c>
      <c r="C8" s="17">
        <v>13.12</v>
      </c>
      <c r="D8" s="17">
        <v>6.79</v>
      </c>
      <c r="E8" s="18">
        <f t="shared" si="0"/>
        <v>6.3299999999999992</v>
      </c>
      <c r="F8" s="3">
        <f t="shared" si="1"/>
        <v>0.93225331369661257</v>
      </c>
      <c r="G8" s="3"/>
    </row>
    <row r="9" spans="2:7" ht="15" customHeight="1" x14ac:dyDescent="0.35">
      <c r="B9" s="20" t="s">
        <v>110</v>
      </c>
      <c r="C9" s="21">
        <v>-0.77</v>
      </c>
      <c r="D9" s="21">
        <v>-0.86</v>
      </c>
      <c r="E9" s="22">
        <f t="shared" si="0"/>
        <v>8.9999999999999969E-2</v>
      </c>
      <c r="F9" s="2">
        <f t="shared" si="1"/>
        <v>0.10465116279069764</v>
      </c>
      <c r="G9" s="2"/>
    </row>
    <row r="10" spans="2:7" ht="15" customHeight="1" x14ac:dyDescent="0.35">
      <c r="B10" s="24" t="s">
        <v>111</v>
      </c>
      <c r="C10" s="18">
        <f>C4+C5+C6+C7+C8+C9</f>
        <v>-25.30999999999997</v>
      </c>
      <c r="D10" s="18">
        <f>D4+D5+D6+D7+D8+D9</f>
        <v>80.240000000000009</v>
      </c>
      <c r="E10" s="18">
        <f t="shared" si="0"/>
        <v>-105.54999999999998</v>
      </c>
      <c r="F10" s="3">
        <f t="shared" si="1"/>
        <v>-1.3154287138584244</v>
      </c>
      <c r="G10" s="3"/>
    </row>
    <row r="11" spans="2:7" ht="15" customHeight="1" x14ac:dyDescent="0.35">
      <c r="B11" s="20" t="s">
        <v>112</v>
      </c>
      <c r="C11" s="21">
        <v>44.98</v>
      </c>
      <c r="D11" s="21">
        <v>-31.64</v>
      </c>
      <c r="E11" s="22">
        <f t="shared" si="0"/>
        <v>76.62</v>
      </c>
      <c r="F11" s="2">
        <f t="shared" si="1"/>
        <v>2.4216182048040458</v>
      </c>
      <c r="G11" s="2"/>
    </row>
    <row r="12" spans="2:7" ht="15" customHeight="1" x14ac:dyDescent="0.35">
      <c r="B12" s="16" t="s">
        <v>113</v>
      </c>
      <c r="C12" s="17">
        <v>33.549999999999997</v>
      </c>
      <c r="D12" s="17">
        <v>-15.04</v>
      </c>
      <c r="E12" s="18">
        <f t="shared" si="0"/>
        <v>48.589999999999996</v>
      </c>
      <c r="F12" s="3">
        <f t="shared" si="1"/>
        <v>3.2307180851063828</v>
      </c>
      <c r="G12" s="3"/>
    </row>
    <row r="13" spans="2:7" ht="15" customHeight="1" x14ac:dyDescent="0.35">
      <c r="B13" s="20" t="s">
        <v>114</v>
      </c>
      <c r="C13" s="21">
        <v>-100.18</v>
      </c>
      <c r="D13" s="21">
        <v>55.8</v>
      </c>
      <c r="E13" s="22">
        <f t="shared" si="0"/>
        <v>-155.98000000000002</v>
      </c>
      <c r="F13" s="2">
        <f t="shared" si="1"/>
        <v>-2.7953405017921154</v>
      </c>
      <c r="G13" s="2"/>
    </row>
    <row r="14" spans="2:7" ht="15" customHeight="1" x14ac:dyDescent="0.35">
      <c r="B14" s="16" t="s">
        <v>115</v>
      </c>
      <c r="C14" s="17">
        <v>89.53</v>
      </c>
      <c r="D14" s="17">
        <v>-0.01</v>
      </c>
      <c r="E14" s="18">
        <f t="shared" si="0"/>
        <v>89.54</v>
      </c>
      <c r="F14" s="3">
        <f t="shared" si="1"/>
        <v>8954</v>
      </c>
      <c r="G14" s="3"/>
    </row>
    <row r="15" spans="2:7" ht="15" customHeight="1" x14ac:dyDescent="0.35">
      <c r="B15" s="20" t="s">
        <v>116</v>
      </c>
      <c r="C15" s="21">
        <v>-9.7100000000000009</v>
      </c>
      <c r="D15" s="21">
        <v>7.72</v>
      </c>
      <c r="E15" s="22">
        <f t="shared" si="0"/>
        <v>-17.43</v>
      </c>
      <c r="F15" s="2">
        <f t="shared" si="1"/>
        <v>-2.2577720207253886</v>
      </c>
      <c r="G15" s="2"/>
    </row>
    <row r="16" spans="2:7" ht="15" customHeight="1" x14ac:dyDescent="0.35">
      <c r="B16" s="16" t="s">
        <v>117</v>
      </c>
      <c r="C16" s="17">
        <v>7.0000000000000007E-2</v>
      </c>
      <c r="D16" s="17">
        <v>0.57999999999999996</v>
      </c>
      <c r="E16" s="18">
        <f t="shared" si="0"/>
        <v>-0.51</v>
      </c>
      <c r="F16" s="3">
        <f t="shared" si="1"/>
        <v>-0.8793103448275863</v>
      </c>
      <c r="G16" s="3"/>
    </row>
    <row r="17" spans="2:7" ht="15" customHeight="1" x14ac:dyDescent="0.35">
      <c r="B17" s="26" t="s">
        <v>118</v>
      </c>
      <c r="C17" s="22">
        <f>SUM(C10:C16)</f>
        <v>32.930000000000021</v>
      </c>
      <c r="D17" s="22">
        <f>SUM(D10:D16)</f>
        <v>97.65</v>
      </c>
      <c r="E17" s="22">
        <f t="shared" si="0"/>
        <v>-64.719999999999985</v>
      </c>
      <c r="F17" s="2">
        <f t="shared" si="1"/>
        <v>-0.6627752176139271</v>
      </c>
      <c r="G17" s="2"/>
    </row>
    <row r="18" spans="2:7" ht="15" customHeight="1" x14ac:dyDescent="0.35">
      <c r="B18" s="16" t="s">
        <v>119</v>
      </c>
      <c r="C18" s="17">
        <v>8.2100000000000009</v>
      </c>
      <c r="D18" s="17">
        <v>-3.03</v>
      </c>
      <c r="E18" s="18">
        <f t="shared" si="0"/>
        <v>11.24</v>
      </c>
      <c r="F18" s="3">
        <f t="shared" si="1"/>
        <v>3.7095709570957101</v>
      </c>
      <c r="G18" s="3"/>
    </row>
    <row r="19" spans="2:7" ht="15" customHeight="1" x14ac:dyDescent="0.35">
      <c r="B19" s="26" t="s">
        <v>120</v>
      </c>
      <c r="C19" s="22">
        <f>C17+C18</f>
        <v>41.140000000000022</v>
      </c>
      <c r="D19" s="22">
        <f>D17+D18</f>
        <v>94.62</v>
      </c>
      <c r="E19" s="22">
        <f t="shared" si="0"/>
        <v>-53.479999999999983</v>
      </c>
      <c r="F19" s="2">
        <f t="shared" si="1"/>
        <v>-0.56520820122595627</v>
      </c>
      <c r="G19" s="2"/>
    </row>
    <row r="21" spans="2:7" ht="15" customHeight="1" x14ac:dyDescent="0.35">
      <c r="B21" s="4" t="s">
        <v>121</v>
      </c>
      <c r="C21" s="4"/>
      <c r="D21" s="4"/>
      <c r="E21" s="4"/>
      <c r="F21" s="4"/>
      <c r="G21" s="4"/>
    </row>
    <row r="22" spans="2:7" ht="15" customHeight="1" x14ac:dyDescent="0.35">
      <c r="B22" s="16" t="s">
        <v>122</v>
      </c>
      <c r="C22" s="17">
        <v>-313.61</v>
      </c>
      <c r="D22" s="17">
        <v>-98.83</v>
      </c>
      <c r="E22" s="18">
        <f t="shared" ref="E22:E27" si="2">C22-D22</f>
        <v>-214.78000000000003</v>
      </c>
      <c r="F22" s="3">
        <f t="shared" ref="F22:F27" si="3">(C22-D22)/ABS(D22)</f>
        <v>-2.1732267530102201</v>
      </c>
      <c r="G22" s="3"/>
    </row>
    <row r="23" spans="2:7" ht="15" customHeight="1" x14ac:dyDescent="0.35">
      <c r="B23" s="20" t="s">
        <v>123</v>
      </c>
      <c r="C23" s="21">
        <v>-306.64999999999998</v>
      </c>
      <c r="D23" s="21">
        <v>-444.55</v>
      </c>
      <c r="E23" s="22">
        <f t="shared" si="2"/>
        <v>137.90000000000003</v>
      </c>
      <c r="F23" s="2">
        <f t="shared" si="3"/>
        <v>0.31020132718479371</v>
      </c>
      <c r="G23" s="2"/>
    </row>
    <row r="24" spans="2:7" ht="15" customHeight="1" x14ac:dyDescent="0.35">
      <c r="B24" s="16" t="s">
        <v>124</v>
      </c>
      <c r="C24" s="17">
        <v>0.97</v>
      </c>
      <c r="D24" s="17">
        <v>6.24</v>
      </c>
      <c r="E24" s="18">
        <f t="shared" si="2"/>
        <v>-5.2700000000000005</v>
      </c>
      <c r="F24" s="3">
        <f t="shared" si="3"/>
        <v>-0.84455128205128205</v>
      </c>
      <c r="G24" s="3"/>
    </row>
    <row r="25" spans="2:7" ht="15" customHeight="1" x14ac:dyDescent="0.35">
      <c r="B25" s="20" t="s">
        <v>125</v>
      </c>
      <c r="C25" s="21">
        <v>0.12</v>
      </c>
      <c r="D25" s="21">
        <v>0.12</v>
      </c>
      <c r="E25" s="22">
        <f t="shared" si="2"/>
        <v>0</v>
      </c>
      <c r="F25" s="2">
        <f t="shared" si="3"/>
        <v>0</v>
      </c>
      <c r="G25" s="2"/>
    </row>
    <row r="26" spans="2:7" ht="15" customHeight="1" x14ac:dyDescent="0.35">
      <c r="B26" s="16" t="s">
        <v>126</v>
      </c>
      <c r="C26" s="17">
        <v>11.19</v>
      </c>
      <c r="D26" s="17">
        <v>7.06</v>
      </c>
      <c r="E26" s="18">
        <f t="shared" si="2"/>
        <v>4.13</v>
      </c>
      <c r="F26" s="3">
        <f t="shared" si="3"/>
        <v>0.58498583569405105</v>
      </c>
      <c r="G26" s="3"/>
    </row>
    <row r="27" spans="2:7" ht="15" customHeight="1" x14ac:dyDescent="0.35">
      <c r="B27" s="26" t="s">
        <v>127</v>
      </c>
      <c r="C27" s="22">
        <f>C22+C23+C24+C25+C26</f>
        <v>-607.9799999999999</v>
      </c>
      <c r="D27" s="22">
        <f>D22+D23+D24+D25+D26</f>
        <v>-529.96</v>
      </c>
      <c r="E27" s="22">
        <f t="shared" si="2"/>
        <v>-78.019999999999868</v>
      </c>
      <c r="F27" s="2">
        <f t="shared" si="3"/>
        <v>-0.14721865801192516</v>
      </c>
      <c r="G27" s="2"/>
    </row>
    <row r="29" spans="2:7" ht="15" customHeight="1" x14ac:dyDescent="0.35">
      <c r="B29" s="4" t="s">
        <v>128</v>
      </c>
      <c r="C29" s="4"/>
      <c r="D29" s="4"/>
      <c r="E29" s="4"/>
      <c r="F29" s="4"/>
      <c r="G29" s="4"/>
    </row>
    <row r="30" spans="2:7" ht="15" customHeight="1" x14ac:dyDescent="0.35">
      <c r="B30" s="16" t="s">
        <v>129</v>
      </c>
      <c r="C30" s="17">
        <v>-11.95</v>
      </c>
      <c r="D30" s="17">
        <v>-12.3</v>
      </c>
      <c r="E30" s="18">
        <f>C30-D30</f>
        <v>0.35000000000000142</v>
      </c>
      <c r="F30" s="3">
        <f>(C30-D30)/ABS(D30)</f>
        <v>2.8455284552845642E-2</v>
      </c>
      <c r="G30" s="3"/>
    </row>
    <row r="31" spans="2:7" ht="15" customHeight="1" x14ac:dyDescent="0.35">
      <c r="B31" s="20" t="s">
        <v>130</v>
      </c>
      <c r="C31" s="21">
        <v>821</v>
      </c>
      <c r="D31" s="21">
        <v>546</v>
      </c>
      <c r="E31" s="22">
        <f>C31-D31</f>
        <v>275</v>
      </c>
      <c r="F31" s="2">
        <f>(C31-D31)/ABS(D31)</f>
        <v>0.50366300366300365</v>
      </c>
      <c r="G31" s="2"/>
    </row>
    <row r="32" spans="2:7" ht="15" customHeight="1" x14ac:dyDescent="0.35">
      <c r="B32" s="24" t="s">
        <v>131</v>
      </c>
      <c r="C32" s="18">
        <f>C30+C31</f>
        <v>809.05</v>
      </c>
      <c r="D32" s="18">
        <f>D30+D31</f>
        <v>533.70000000000005</v>
      </c>
      <c r="E32" s="18">
        <f>C32-D32</f>
        <v>275.34999999999991</v>
      </c>
      <c r="F32" s="3">
        <f>(C32-D32)/ABS(D32)</f>
        <v>0.51592655049653346</v>
      </c>
      <c r="G32" s="3"/>
    </row>
    <row r="34" spans="2:7" ht="15" customHeight="1" x14ac:dyDescent="0.35">
      <c r="B34" s="24" t="s">
        <v>132</v>
      </c>
      <c r="C34" s="18">
        <f>C19+C27+C32</f>
        <v>242.21000000000004</v>
      </c>
      <c r="D34" s="18">
        <f>D19+D27+D32</f>
        <v>98.360000000000014</v>
      </c>
      <c r="E34" s="18">
        <f>C34-D34</f>
        <v>143.85000000000002</v>
      </c>
      <c r="F34" s="3">
        <f>(C34-D34)/ABS(D34)</f>
        <v>1.4624847498983327</v>
      </c>
      <c r="G34" s="3"/>
    </row>
    <row r="35" spans="2:7" ht="15" customHeight="1" x14ac:dyDescent="0.35">
      <c r="B35" s="20" t="s">
        <v>133</v>
      </c>
      <c r="C35" s="21">
        <v>146.66</v>
      </c>
      <c r="D35" s="21">
        <v>44.28</v>
      </c>
      <c r="E35" s="22">
        <f>C35-D35</f>
        <v>102.38</v>
      </c>
      <c r="F35" s="2">
        <f>(C35-D35)/ABS(D35)</f>
        <v>2.3121047877145435</v>
      </c>
      <c r="G35" s="2"/>
    </row>
    <row r="36" spans="2:7" ht="15" customHeight="1" x14ac:dyDescent="0.35">
      <c r="B36" s="24" t="s">
        <v>134</v>
      </c>
      <c r="C36" s="18">
        <f>C34+C35</f>
        <v>388.87</v>
      </c>
      <c r="D36" s="18">
        <f>D34+D35</f>
        <v>142.64000000000001</v>
      </c>
      <c r="E36" s="18">
        <f>C36-D36</f>
        <v>246.23</v>
      </c>
      <c r="F36" s="3">
        <f>(C36-D36)/ABS(D36)</f>
        <v>1.7262338754907456</v>
      </c>
      <c r="G36" s="3"/>
    </row>
    <row r="38" spans="2:7" ht="21.75" customHeight="1" x14ac:dyDescent="0.35">
      <c r="B38" s="27" t="s">
        <v>287</v>
      </c>
    </row>
  </sheetData>
  <mergeCells count="33">
    <mergeCell ref="F34:G34"/>
    <mergeCell ref="F35:G35"/>
    <mergeCell ref="F36:G36"/>
    <mergeCell ref="F27:G27"/>
    <mergeCell ref="B29:G29"/>
    <mergeCell ref="F30:G30"/>
    <mergeCell ref="F31:G31"/>
    <mergeCell ref="F32:G32"/>
    <mergeCell ref="F22:G22"/>
    <mergeCell ref="F23:G23"/>
    <mergeCell ref="F24:G24"/>
    <mergeCell ref="F25:G25"/>
    <mergeCell ref="F26:G26"/>
    <mergeCell ref="F16:G16"/>
    <mergeCell ref="F17:G17"/>
    <mergeCell ref="F18:G18"/>
    <mergeCell ref="F19:G19"/>
    <mergeCell ref="B21:G21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B1:G1"/>
    <mergeCell ref="F2:G2"/>
    <mergeCell ref="B3:G3"/>
    <mergeCell ref="F4:G4"/>
    <mergeCell ref="F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29"/>
  <sheetViews>
    <sheetView showGridLines="0" tabSelected="1" topLeftCell="A5" zoomScaleNormal="100" workbookViewId="0">
      <selection activeCell="G14" sqref="G14"/>
    </sheetView>
  </sheetViews>
  <sheetFormatPr defaultColWidth="8.6328125" defaultRowHeight="14.5" x14ac:dyDescent="0.35"/>
  <cols>
    <col min="1" max="1" width="2" customWidth="1"/>
    <col min="2" max="2" width="39.6328125" bestFit="1" customWidth="1"/>
    <col min="3" max="4" width="18" customWidth="1"/>
    <col min="5" max="5" width="36" customWidth="1"/>
    <col min="6" max="6" width="2" customWidth="1"/>
  </cols>
  <sheetData>
    <row r="1" spans="2:5" ht="24" customHeight="1" x14ac:dyDescent="0.35">
      <c r="B1" s="6" t="s">
        <v>135</v>
      </c>
      <c r="C1" s="6"/>
      <c r="D1" s="6"/>
      <c r="E1" s="6"/>
    </row>
    <row r="2" spans="2:5" ht="15" customHeight="1" x14ac:dyDescent="0.35">
      <c r="B2" s="15" t="s">
        <v>136</v>
      </c>
      <c r="C2" s="15" t="s">
        <v>36</v>
      </c>
      <c r="D2" s="15" t="s">
        <v>37</v>
      </c>
      <c r="E2" s="15" t="s">
        <v>137</v>
      </c>
    </row>
    <row r="3" spans="2:5" ht="15" customHeight="1" x14ac:dyDescent="0.35">
      <c r="B3" s="4" t="s">
        <v>138</v>
      </c>
      <c r="C3" s="4"/>
      <c r="D3" s="4"/>
      <c r="E3" s="4"/>
    </row>
    <row r="4" spans="2:5" ht="19.5" customHeight="1" x14ac:dyDescent="0.35">
      <c r="B4" s="16" t="s">
        <v>139</v>
      </c>
      <c r="C4" s="17" t="s">
        <v>140</v>
      </c>
      <c r="D4" s="17" t="s">
        <v>141</v>
      </c>
      <c r="E4" s="28" t="s">
        <v>142</v>
      </c>
    </row>
    <row r="5" spans="2:5" ht="19.5" customHeight="1" x14ac:dyDescent="0.35">
      <c r="B5" s="20" t="s">
        <v>143</v>
      </c>
      <c r="C5" s="21" t="s">
        <v>144</v>
      </c>
      <c r="D5" s="21" t="s">
        <v>145</v>
      </c>
      <c r="E5" s="29" t="s">
        <v>146</v>
      </c>
    </row>
    <row r="6" spans="2:5" ht="19.5" customHeight="1" x14ac:dyDescent="0.35">
      <c r="B6" s="16" t="s">
        <v>147</v>
      </c>
      <c r="C6" s="17" t="s">
        <v>148</v>
      </c>
      <c r="D6" s="17" t="s">
        <v>149</v>
      </c>
      <c r="E6" s="28" t="s">
        <v>150</v>
      </c>
    </row>
    <row r="7" spans="2:5" ht="15" customHeight="1" x14ac:dyDescent="0.35">
      <c r="B7" s="4" t="s">
        <v>151</v>
      </c>
      <c r="C7" s="4"/>
      <c r="D7" s="4"/>
      <c r="E7" s="4"/>
    </row>
    <row r="8" spans="2:5" ht="19.5" customHeight="1" x14ac:dyDescent="0.35">
      <c r="B8" s="16" t="s">
        <v>152</v>
      </c>
      <c r="C8" s="30" t="s">
        <v>153</v>
      </c>
      <c r="D8" s="30" t="s">
        <v>153</v>
      </c>
      <c r="E8" s="28" t="s">
        <v>154</v>
      </c>
    </row>
    <row r="9" spans="2:5" ht="19.5" customHeight="1" x14ac:dyDescent="0.35">
      <c r="B9" s="20" t="s">
        <v>155</v>
      </c>
      <c r="C9" s="22">
        <f>441.47/3892.48</f>
        <v>0.1134161254521539</v>
      </c>
      <c r="D9" s="22">
        <f>486.17/3328.92</f>
        <v>0.14604436273626281</v>
      </c>
      <c r="E9" s="29" t="s">
        <v>156</v>
      </c>
    </row>
    <row r="10" spans="2:5" ht="19.5" customHeight="1" x14ac:dyDescent="0.35">
      <c r="B10" s="16" t="s">
        <v>157</v>
      </c>
      <c r="C10" s="30" t="s">
        <v>158</v>
      </c>
      <c r="D10" s="30" t="s">
        <v>53</v>
      </c>
      <c r="E10" s="28" t="s">
        <v>159</v>
      </c>
    </row>
    <row r="11" spans="2:5" ht="15" customHeight="1" x14ac:dyDescent="0.35">
      <c r="B11" s="4" t="s">
        <v>160</v>
      </c>
      <c r="C11" s="4"/>
      <c r="D11" s="4"/>
      <c r="E11" s="4"/>
    </row>
    <row r="12" spans="2:5" ht="19.5" customHeight="1" x14ac:dyDescent="0.35">
      <c r="B12" s="16" t="s">
        <v>60</v>
      </c>
      <c r="C12" s="43">
        <v>0.19700000000000001</v>
      </c>
      <c r="D12" s="43">
        <v>0.313</v>
      </c>
      <c r="E12" s="28" t="s">
        <v>161</v>
      </c>
    </row>
    <row r="13" spans="2:5" ht="19.5" customHeight="1" x14ac:dyDescent="0.35">
      <c r="B13" s="20" t="s">
        <v>61</v>
      </c>
      <c r="C13" s="44">
        <v>2.5999999999999999E-2</v>
      </c>
      <c r="D13" s="44">
        <v>0.129</v>
      </c>
      <c r="E13" s="29" t="s">
        <v>162</v>
      </c>
    </row>
    <row r="14" spans="2:5" ht="19.5" customHeight="1" x14ac:dyDescent="0.35">
      <c r="B14" s="16" t="s">
        <v>62</v>
      </c>
      <c r="C14" s="43">
        <v>-0.42</v>
      </c>
      <c r="D14" s="43">
        <v>-0.54400000000000004</v>
      </c>
      <c r="E14" s="28" t="s">
        <v>163</v>
      </c>
    </row>
    <row r="15" spans="2:5" ht="19.5" customHeight="1" x14ac:dyDescent="0.35">
      <c r="B15" s="20" t="s">
        <v>164</v>
      </c>
      <c r="C15" s="44">
        <v>-0.01</v>
      </c>
      <c r="D15" s="44">
        <v>-0.02</v>
      </c>
      <c r="E15" s="29" t="s">
        <v>165</v>
      </c>
    </row>
    <row r="16" spans="2:5" ht="19.5" customHeight="1" x14ac:dyDescent="0.35">
      <c r="B16" s="16" t="s">
        <v>166</v>
      </c>
      <c r="C16" s="43">
        <v>-7.0000000000000007E-2</v>
      </c>
      <c r="D16" s="43">
        <v>-0.11</v>
      </c>
      <c r="E16" s="28" t="s">
        <v>167</v>
      </c>
    </row>
    <row r="17" spans="2:5" ht="19.5" customHeight="1" x14ac:dyDescent="0.35">
      <c r="B17" s="20" t="s">
        <v>168</v>
      </c>
      <c r="C17" s="22">
        <f>(-257.4/((4333.95+3815.09)/2))*100</f>
        <v>-6.3173085418650539</v>
      </c>
      <c r="D17" s="22">
        <f>(-372.55/3815.09)*100</f>
        <v>-9.7651693669087756</v>
      </c>
      <c r="E17" s="29" t="s">
        <v>169</v>
      </c>
    </row>
    <row r="18" spans="2:5" ht="15" customHeight="1" x14ac:dyDescent="0.35">
      <c r="B18" s="4" t="s">
        <v>170</v>
      </c>
      <c r="C18" s="4"/>
      <c r="D18" s="4"/>
      <c r="E18" s="4"/>
    </row>
    <row r="19" spans="2:5" ht="19.5" customHeight="1" x14ac:dyDescent="0.35">
      <c r="B19" s="20" t="s">
        <v>171</v>
      </c>
      <c r="C19" s="21" t="s">
        <v>172</v>
      </c>
      <c r="D19" s="21" t="s">
        <v>173</v>
      </c>
      <c r="E19" s="29" t="s">
        <v>174</v>
      </c>
    </row>
    <row r="20" spans="2:5" ht="19.5" customHeight="1" x14ac:dyDescent="0.35">
      <c r="B20" s="16" t="s">
        <v>175</v>
      </c>
      <c r="C20" s="18">
        <f>365/2.1</f>
        <v>173.8095238095238</v>
      </c>
      <c r="D20" s="18">
        <f>365/2.17</f>
        <v>168.20276497695852</v>
      </c>
      <c r="E20" s="28" t="s">
        <v>176</v>
      </c>
    </row>
    <row r="21" spans="2:5" ht="19.5" customHeight="1" x14ac:dyDescent="0.35">
      <c r="B21" s="20" t="s">
        <v>177</v>
      </c>
      <c r="C21" s="21" t="s">
        <v>178</v>
      </c>
      <c r="D21" s="21" t="s">
        <v>179</v>
      </c>
      <c r="E21" s="29" t="s">
        <v>180</v>
      </c>
    </row>
    <row r="22" spans="2:5" ht="19.5" customHeight="1" x14ac:dyDescent="0.35">
      <c r="B22" s="16" t="s">
        <v>181</v>
      </c>
      <c r="C22" s="18">
        <f>567.89/((4333.95+3815.09)/2)</f>
        <v>0.13937592648950059</v>
      </c>
      <c r="D22" s="18">
        <f>685.64/3815.09</f>
        <v>0.17971790966923454</v>
      </c>
      <c r="E22" s="28" t="s">
        <v>182</v>
      </c>
    </row>
    <row r="23" spans="2:5" ht="15" customHeight="1" x14ac:dyDescent="0.35">
      <c r="B23" s="4" t="s">
        <v>183</v>
      </c>
      <c r="C23" s="4"/>
      <c r="D23" s="4"/>
      <c r="E23" s="4"/>
    </row>
    <row r="24" spans="2:5" ht="19.5" customHeight="1" x14ac:dyDescent="0.35">
      <c r="B24" s="16" t="s">
        <v>184</v>
      </c>
      <c r="C24" s="42">
        <v>19017.05</v>
      </c>
      <c r="D24" s="42">
        <v>18759.61</v>
      </c>
      <c r="E24" s="28" t="s">
        <v>185</v>
      </c>
    </row>
    <row r="25" spans="2:5" ht="19.5" customHeight="1" x14ac:dyDescent="0.35">
      <c r="B25" s="20" t="s">
        <v>186</v>
      </c>
      <c r="C25" s="41">
        <v>3892.48</v>
      </c>
      <c r="D25" s="41">
        <v>3328.92</v>
      </c>
      <c r="E25" s="29" t="s">
        <v>187</v>
      </c>
    </row>
    <row r="26" spans="2:5" ht="19.5" customHeight="1" x14ac:dyDescent="0.35">
      <c r="B26" s="16" t="s">
        <v>188</v>
      </c>
      <c r="C26" s="42">
        <v>821</v>
      </c>
      <c r="D26" s="42">
        <v>546</v>
      </c>
      <c r="E26" s="28" t="s">
        <v>189</v>
      </c>
    </row>
    <row r="27" spans="2:5" ht="19.5" customHeight="1" x14ac:dyDescent="0.35">
      <c r="B27" s="20" t="s">
        <v>190</v>
      </c>
      <c r="C27" s="41">
        <v>2.2799999999999998</v>
      </c>
      <c r="D27" s="41">
        <v>82.99</v>
      </c>
      <c r="E27" s="29" t="s">
        <v>191</v>
      </c>
    </row>
    <row r="29" spans="2:5" ht="32.25" customHeight="1" x14ac:dyDescent="0.35">
      <c r="B29" s="27" t="s">
        <v>192</v>
      </c>
    </row>
  </sheetData>
  <mergeCells count="6">
    <mergeCell ref="B23:E23"/>
    <mergeCell ref="B1:E1"/>
    <mergeCell ref="B3:E3"/>
    <mergeCell ref="B7:E7"/>
    <mergeCell ref="B11:E11"/>
    <mergeCell ref="B18:E18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59"/>
  <sheetViews>
    <sheetView showGridLines="0" zoomScaleNormal="100" workbookViewId="0">
      <selection activeCell="F54" sqref="F54"/>
    </sheetView>
  </sheetViews>
  <sheetFormatPr defaultColWidth="8.6328125" defaultRowHeight="14.5" x14ac:dyDescent="0.35"/>
  <cols>
    <col min="1" max="1" width="2" customWidth="1"/>
    <col min="2" max="2" width="43.54296875" bestFit="1" customWidth="1"/>
    <col min="3" max="3" width="42.26953125" customWidth="1"/>
    <col min="4" max="4" width="2" customWidth="1"/>
  </cols>
  <sheetData>
    <row r="1" spans="2:3" ht="24" customHeight="1" x14ac:dyDescent="0.35">
      <c r="B1" s="6" t="s">
        <v>193</v>
      </c>
      <c r="C1" s="6"/>
    </row>
    <row r="2" spans="2:3" ht="32.25" customHeight="1" x14ac:dyDescent="0.35">
      <c r="B2" s="27" t="s">
        <v>194</v>
      </c>
    </row>
    <row r="4" spans="2:3" ht="15" customHeight="1" x14ac:dyDescent="0.35">
      <c r="B4" s="40" t="s">
        <v>195</v>
      </c>
      <c r="C4" s="40"/>
    </row>
    <row r="5" spans="2:3" ht="15" customHeight="1" x14ac:dyDescent="0.35">
      <c r="B5" s="31" t="s">
        <v>196</v>
      </c>
      <c r="C5" s="31" t="s">
        <v>197</v>
      </c>
    </row>
    <row r="6" spans="2:3" ht="39.75" customHeight="1" x14ac:dyDescent="0.35">
      <c r="B6" s="32" t="s">
        <v>198</v>
      </c>
      <c r="C6" s="33" t="s">
        <v>199</v>
      </c>
    </row>
    <row r="7" spans="2:3" ht="39.75" customHeight="1" x14ac:dyDescent="0.35">
      <c r="B7" s="32" t="s">
        <v>200</v>
      </c>
      <c r="C7" s="33" t="s">
        <v>201</v>
      </c>
    </row>
    <row r="8" spans="2:3" ht="39.75" customHeight="1" x14ac:dyDescent="0.35">
      <c r="B8" s="32" t="s">
        <v>202</v>
      </c>
      <c r="C8" s="33" t="s">
        <v>203</v>
      </c>
    </row>
    <row r="9" spans="2:3" ht="39.75" customHeight="1" x14ac:dyDescent="0.35">
      <c r="B9" s="32" t="s">
        <v>204</v>
      </c>
      <c r="C9" s="33" t="s">
        <v>205</v>
      </c>
    </row>
    <row r="10" spans="2:3" ht="39.75" customHeight="1" x14ac:dyDescent="0.35">
      <c r="B10" s="32" t="s">
        <v>206</v>
      </c>
      <c r="C10" s="33" t="s">
        <v>207</v>
      </c>
    </row>
    <row r="11" spans="2:3" ht="39.75" customHeight="1" x14ac:dyDescent="0.35">
      <c r="B11" s="32" t="s">
        <v>208</v>
      </c>
      <c r="C11" s="33" t="s">
        <v>209</v>
      </c>
    </row>
    <row r="13" spans="2:3" ht="15" customHeight="1" x14ac:dyDescent="0.35">
      <c r="B13" s="40" t="s">
        <v>210</v>
      </c>
      <c r="C13" s="40"/>
    </row>
    <row r="14" spans="2:3" ht="15" customHeight="1" x14ac:dyDescent="0.35">
      <c r="B14" s="31" t="s">
        <v>211</v>
      </c>
      <c r="C14" s="31" t="s">
        <v>212</v>
      </c>
    </row>
    <row r="15" spans="2:3" ht="39.75" customHeight="1" x14ac:dyDescent="0.35">
      <c r="B15" s="34" t="s">
        <v>213</v>
      </c>
      <c r="C15" s="35" t="s">
        <v>214</v>
      </c>
    </row>
    <row r="16" spans="2:3" ht="39.75" customHeight="1" x14ac:dyDescent="0.35">
      <c r="B16" s="34" t="s">
        <v>215</v>
      </c>
      <c r="C16" s="35" t="s">
        <v>216</v>
      </c>
    </row>
    <row r="17" spans="2:3" ht="39.75" customHeight="1" x14ac:dyDescent="0.35">
      <c r="B17" s="34" t="s">
        <v>217</v>
      </c>
      <c r="C17" s="35" t="s">
        <v>218</v>
      </c>
    </row>
    <row r="18" spans="2:3" ht="39.75" customHeight="1" x14ac:dyDescent="0.35">
      <c r="B18" s="34" t="s">
        <v>219</v>
      </c>
      <c r="C18" s="35" t="s">
        <v>220</v>
      </c>
    </row>
    <row r="19" spans="2:3" ht="39.75" customHeight="1" x14ac:dyDescent="0.35">
      <c r="B19" s="34" t="s">
        <v>221</v>
      </c>
      <c r="C19" s="35" t="s">
        <v>222</v>
      </c>
    </row>
    <row r="20" spans="2:3" ht="39.75" customHeight="1" x14ac:dyDescent="0.35">
      <c r="B20" s="34" t="s">
        <v>223</v>
      </c>
      <c r="C20" s="35" t="s">
        <v>224</v>
      </c>
    </row>
    <row r="22" spans="2:3" ht="15" customHeight="1" x14ac:dyDescent="0.35">
      <c r="B22" s="40" t="s">
        <v>225</v>
      </c>
      <c r="C22" s="40"/>
    </row>
    <row r="23" spans="2:3" ht="15" customHeight="1" x14ac:dyDescent="0.35">
      <c r="B23" s="31" t="s">
        <v>226</v>
      </c>
      <c r="C23" s="31" t="s">
        <v>227</v>
      </c>
    </row>
    <row r="24" spans="2:3" ht="39.75" customHeight="1" x14ac:dyDescent="0.35">
      <c r="B24" s="32" t="s">
        <v>228</v>
      </c>
      <c r="C24" s="34" t="s">
        <v>229</v>
      </c>
    </row>
    <row r="25" spans="2:3" ht="39.75" customHeight="1" x14ac:dyDescent="0.35">
      <c r="B25" s="32" t="s">
        <v>230</v>
      </c>
      <c r="C25" s="34" t="s">
        <v>231</v>
      </c>
    </row>
    <row r="26" spans="2:3" ht="39.75" customHeight="1" x14ac:dyDescent="0.35">
      <c r="B26" s="32" t="s">
        <v>232</v>
      </c>
      <c r="C26" s="34" t="s">
        <v>233</v>
      </c>
    </row>
    <row r="27" spans="2:3" ht="39.75" customHeight="1" x14ac:dyDescent="0.35">
      <c r="B27" s="32" t="s">
        <v>234</v>
      </c>
      <c r="C27" s="34" t="s">
        <v>235</v>
      </c>
    </row>
    <row r="28" spans="2:3" ht="39.75" customHeight="1" x14ac:dyDescent="0.35">
      <c r="B28" s="32" t="s">
        <v>236</v>
      </c>
      <c r="C28" s="34" t="s">
        <v>237</v>
      </c>
    </row>
    <row r="30" spans="2:3" ht="15" customHeight="1" x14ac:dyDescent="0.35">
      <c r="B30" s="40" t="s">
        <v>238</v>
      </c>
      <c r="C30" s="40"/>
    </row>
    <row r="31" spans="2:3" ht="15" customHeight="1" x14ac:dyDescent="0.35">
      <c r="B31" s="31" t="s">
        <v>239</v>
      </c>
      <c r="C31" s="31" t="s">
        <v>240</v>
      </c>
    </row>
    <row r="32" spans="2:3" ht="39.75" customHeight="1" x14ac:dyDescent="0.35">
      <c r="B32" s="36" t="s">
        <v>241</v>
      </c>
      <c r="C32" s="37" t="s">
        <v>242</v>
      </c>
    </row>
    <row r="33" spans="2:3" ht="39.75" customHeight="1" x14ac:dyDescent="0.35">
      <c r="B33" s="36" t="s">
        <v>243</v>
      </c>
      <c r="C33" s="37" t="s">
        <v>244</v>
      </c>
    </row>
    <row r="34" spans="2:3" ht="39.75" customHeight="1" x14ac:dyDescent="0.35">
      <c r="B34" s="36" t="s">
        <v>245</v>
      </c>
      <c r="C34" s="37" t="s">
        <v>246</v>
      </c>
    </row>
    <row r="35" spans="2:3" ht="39.75" customHeight="1" x14ac:dyDescent="0.35">
      <c r="B35" s="36" t="s">
        <v>247</v>
      </c>
      <c r="C35" s="37" t="s">
        <v>248</v>
      </c>
    </row>
    <row r="36" spans="2:3" ht="39.75" customHeight="1" x14ac:dyDescent="0.35">
      <c r="B36" s="36" t="s">
        <v>249</v>
      </c>
      <c r="C36" s="37" t="s">
        <v>250</v>
      </c>
    </row>
    <row r="37" spans="2:3" ht="39.75" customHeight="1" x14ac:dyDescent="0.35">
      <c r="B37" s="36" t="s">
        <v>251</v>
      </c>
      <c r="C37" s="37" t="s">
        <v>252</v>
      </c>
    </row>
    <row r="38" spans="2:3" ht="39.75" customHeight="1" x14ac:dyDescent="0.35">
      <c r="B38" s="36" t="s">
        <v>253</v>
      </c>
      <c r="C38" s="37" t="s">
        <v>254</v>
      </c>
    </row>
    <row r="40" spans="2:3" ht="15" customHeight="1" x14ac:dyDescent="0.35">
      <c r="B40" s="40" t="s">
        <v>255</v>
      </c>
      <c r="C40" s="40"/>
    </row>
    <row r="41" spans="2:3" ht="15" customHeight="1" x14ac:dyDescent="0.35">
      <c r="B41" s="31" t="s">
        <v>256</v>
      </c>
      <c r="C41" s="31" t="s">
        <v>257</v>
      </c>
    </row>
    <row r="42" spans="2:3" ht="39.75" customHeight="1" x14ac:dyDescent="0.35">
      <c r="B42" s="38" t="s">
        <v>258</v>
      </c>
      <c r="C42" s="37" t="s">
        <v>259</v>
      </c>
    </row>
    <row r="43" spans="2:3" ht="39.75" customHeight="1" x14ac:dyDescent="0.35">
      <c r="B43" s="38" t="s">
        <v>260</v>
      </c>
      <c r="C43" s="37" t="s">
        <v>261</v>
      </c>
    </row>
    <row r="44" spans="2:3" ht="39.75" customHeight="1" x14ac:dyDescent="0.35">
      <c r="B44" s="38" t="s">
        <v>262</v>
      </c>
      <c r="C44" s="37" t="s">
        <v>263</v>
      </c>
    </row>
    <row r="45" spans="2:3" ht="39.75" customHeight="1" x14ac:dyDescent="0.35">
      <c r="B45" s="38" t="s">
        <v>264</v>
      </c>
      <c r="C45" s="37" t="s">
        <v>265</v>
      </c>
    </row>
    <row r="46" spans="2:3" ht="39.75" customHeight="1" x14ac:dyDescent="0.35">
      <c r="B46" s="38" t="s">
        <v>266</v>
      </c>
      <c r="C46" s="37" t="s">
        <v>267</v>
      </c>
    </row>
    <row r="47" spans="2:3" ht="39.75" customHeight="1" x14ac:dyDescent="0.35">
      <c r="B47" s="38" t="s">
        <v>268</v>
      </c>
      <c r="C47" s="37" t="s">
        <v>269</v>
      </c>
    </row>
    <row r="48" spans="2:3" ht="39.75" customHeight="1" x14ac:dyDescent="0.35">
      <c r="B48" s="38" t="s">
        <v>270</v>
      </c>
      <c r="C48" s="37" t="s">
        <v>271</v>
      </c>
    </row>
    <row r="50" spans="2:3" ht="15" customHeight="1" x14ac:dyDescent="0.35">
      <c r="B50" s="40" t="s">
        <v>272</v>
      </c>
      <c r="C50" s="40"/>
    </row>
    <row r="51" spans="2:3" ht="15" customHeight="1" x14ac:dyDescent="0.35">
      <c r="B51" s="31" t="s">
        <v>273</v>
      </c>
      <c r="C51" s="31" t="s">
        <v>274</v>
      </c>
    </row>
    <row r="52" spans="2:3" ht="39.75" customHeight="1" x14ac:dyDescent="0.35">
      <c r="B52" s="33" t="s">
        <v>275</v>
      </c>
      <c r="C52" s="37" t="s">
        <v>276</v>
      </c>
    </row>
    <row r="53" spans="2:3" ht="39.75" customHeight="1" x14ac:dyDescent="0.35">
      <c r="B53" s="33" t="s">
        <v>277</v>
      </c>
      <c r="C53" s="37" t="s">
        <v>278</v>
      </c>
    </row>
    <row r="54" spans="2:3" ht="39.75" customHeight="1" x14ac:dyDescent="0.35">
      <c r="B54" s="33" t="s">
        <v>279</v>
      </c>
      <c r="C54" s="37" t="s">
        <v>280</v>
      </c>
    </row>
    <row r="55" spans="2:3" ht="39.75" customHeight="1" x14ac:dyDescent="0.35">
      <c r="B55" s="33" t="s">
        <v>281</v>
      </c>
      <c r="C55" s="37" t="s">
        <v>282</v>
      </c>
    </row>
    <row r="56" spans="2:3" ht="39.75" customHeight="1" x14ac:dyDescent="0.35">
      <c r="B56" s="33" t="s">
        <v>283</v>
      </c>
      <c r="C56" s="37" t="s">
        <v>284</v>
      </c>
    </row>
    <row r="57" spans="2:3" ht="39.75" customHeight="1" x14ac:dyDescent="0.35">
      <c r="B57" s="33" t="s">
        <v>285</v>
      </c>
      <c r="C57" s="37" t="s">
        <v>286</v>
      </c>
    </row>
    <row r="59" spans="2:3" ht="32.25" customHeight="1" x14ac:dyDescent="0.35">
      <c r="B59" s="27"/>
    </row>
  </sheetData>
  <mergeCells count="7">
    <mergeCell ref="B40:C40"/>
    <mergeCell ref="B50:C50"/>
    <mergeCell ref="B1:C1"/>
    <mergeCell ref="B4:C4"/>
    <mergeCell ref="B13:C13"/>
    <mergeCell ref="B22:C22"/>
    <mergeCell ref="B30:C3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HOME</vt:lpstr>
      <vt:lpstr>Income Statement</vt:lpstr>
      <vt:lpstr>Balance Sheet</vt:lpstr>
      <vt:lpstr>Cash Flow</vt:lpstr>
      <vt:lpstr>Ratio Analysis</vt:lpstr>
      <vt:lpstr>Business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marty krishna</cp:lastModifiedBy>
  <cp:revision>0</cp:revision>
  <dcterms:created xsi:type="dcterms:W3CDTF">2026-03-24T07:21:55Z</dcterms:created>
  <dcterms:modified xsi:type="dcterms:W3CDTF">2026-03-25T04:24:54Z</dcterms:modified>
  <dc:language>en-US</dc:language>
</cp:coreProperties>
</file>