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anj\Documents\GitHub\inakm.github.io\myprojects\ExelProj\"/>
    </mc:Choice>
  </mc:AlternateContent>
  <xr:revisionPtr revIDLastSave="0" documentId="13_ncr:1_{F85E2D6C-698F-4566-824B-CE9A9B912F82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Asset Register" sheetId="1" r:id="rId1"/>
    <sheet name="Depreciation Schedule" sheetId="2" r:id="rId2"/>
    <sheet name="NBV Summary – Balance Sheet" sheetId="3" r:id="rId3"/>
    <sheet name="Methodology &amp; Assumption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9" i="1" l="1"/>
  <c r="H5" i="1"/>
  <c r="K10" i="1"/>
  <c r="K9" i="1"/>
  <c r="H9" i="1"/>
  <c r="H10" i="1"/>
  <c r="I10" i="1"/>
  <c r="K5" i="1"/>
  <c r="K6" i="1"/>
  <c r="P1" i="1"/>
  <c r="J8" i="1" s="1"/>
  <c r="E8" i="3" s="1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5" i="3"/>
  <c r="D17" i="3" s="1"/>
  <c r="C5" i="3"/>
  <c r="B5" i="3"/>
  <c r="B16" i="2"/>
  <c r="B15" i="2"/>
  <c r="B14" i="2"/>
  <c r="B13" i="2"/>
  <c r="B12" i="2"/>
  <c r="B11" i="2"/>
  <c r="B10" i="2"/>
  <c r="B9" i="2"/>
  <c r="B8" i="2"/>
  <c r="B7" i="2"/>
  <c r="B6" i="2"/>
  <c r="B5" i="2"/>
  <c r="L17" i="1"/>
  <c r="E17" i="1"/>
  <c r="K16" i="1"/>
  <c r="H16" i="1"/>
  <c r="I16" i="1" s="1"/>
  <c r="K15" i="1"/>
  <c r="H15" i="1"/>
  <c r="I15" i="1" s="1"/>
  <c r="K14" i="1"/>
  <c r="H14" i="1"/>
  <c r="I14" i="1" s="1"/>
  <c r="K13" i="1"/>
  <c r="H13" i="1"/>
  <c r="I13" i="1" s="1"/>
  <c r="K12" i="1"/>
  <c r="I12" i="1"/>
  <c r="I12" i="2" s="1"/>
  <c r="H12" i="1"/>
  <c r="K11" i="1"/>
  <c r="I11" i="1"/>
  <c r="P11" i="2" s="1"/>
  <c r="H11" i="1"/>
  <c r="K8" i="1"/>
  <c r="H8" i="1"/>
  <c r="I8" i="1" s="1"/>
  <c r="K7" i="1"/>
  <c r="H7" i="1"/>
  <c r="I7" i="1" s="1"/>
  <c r="H6" i="1"/>
  <c r="I6" i="1" s="1"/>
  <c r="J10" i="1" l="1"/>
  <c r="E10" i="3" s="1"/>
  <c r="H17" i="1"/>
  <c r="I9" i="1"/>
  <c r="J5" i="1"/>
  <c r="J9" i="1"/>
  <c r="J6" i="1"/>
  <c r="E6" i="3" s="1"/>
  <c r="H30" i="1"/>
  <c r="H29" i="1"/>
  <c r="J14" i="1"/>
  <c r="E14" i="3" s="1"/>
  <c r="M9" i="1"/>
  <c r="F9" i="3" s="1"/>
  <c r="G9" i="3" s="1"/>
  <c r="J15" i="1"/>
  <c r="M15" i="1" s="1"/>
  <c r="F15" i="3" s="1"/>
  <c r="G15" i="3" s="1"/>
  <c r="J16" i="1"/>
  <c r="E16" i="3" s="1"/>
  <c r="J7" i="1"/>
  <c r="M7" i="1" s="1"/>
  <c r="F7" i="3" s="1"/>
  <c r="G7" i="3" s="1"/>
  <c r="J12" i="1"/>
  <c r="M12" i="1" s="1"/>
  <c r="F12" i="3" s="1"/>
  <c r="G12" i="3" s="1"/>
  <c r="J11" i="1"/>
  <c r="E11" i="3" s="1"/>
  <c r="J13" i="1"/>
  <c r="E13" i="3" s="1"/>
  <c r="D16" i="2"/>
  <c r="T16" i="2"/>
  <c r="S16" i="2"/>
  <c r="C16" i="2"/>
  <c r="R16" i="2"/>
  <c r="Q16" i="2"/>
  <c r="P16" i="2"/>
  <c r="O16" i="2"/>
  <c r="N16" i="2"/>
  <c r="M16" i="2"/>
  <c r="L16" i="2"/>
  <c r="K16" i="2"/>
  <c r="J16" i="2"/>
  <c r="Z16" i="2"/>
  <c r="X16" i="2"/>
  <c r="H16" i="2"/>
  <c r="W16" i="2"/>
  <c r="G16" i="2"/>
  <c r="Y16" i="2"/>
  <c r="I16" i="2"/>
  <c r="F16" i="2"/>
  <c r="V16" i="2"/>
  <c r="U16" i="2"/>
  <c r="E16" i="2"/>
  <c r="N13" i="2"/>
  <c r="M13" i="2"/>
  <c r="L13" i="2"/>
  <c r="K13" i="2"/>
  <c r="Z13" i="2"/>
  <c r="J13" i="2"/>
  <c r="Y13" i="2"/>
  <c r="I13" i="2"/>
  <c r="X13" i="2"/>
  <c r="H13" i="2"/>
  <c r="W13" i="2"/>
  <c r="G13" i="2"/>
  <c r="V13" i="2"/>
  <c r="F13" i="2"/>
  <c r="E13" i="2"/>
  <c r="U13" i="2"/>
  <c r="C13" i="2"/>
  <c r="R13" i="2"/>
  <c r="T13" i="2"/>
  <c r="D13" i="2"/>
  <c r="S13" i="2"/>
  <c r="Q13" i="2"/>
  <c r="P13" i="2"/>
  <c r="O13" i="2"/>
  <c r="D9" i="2"/>
  <c r="C9" i="2"/>
  <c r="R9" i="2"/>
  <c r="Q9" i="2"/>
  <c r="P9" i="2"/>
  <c r="O9" i="2"/>
  <c r="N9" i="2"/>
  <c r="M9" i="2"/>
  <c r="L9" i="2"/>
  <c r="K9" i="2"/>
  <c r="Z9" i="2"/>
  <c r="J9" i="2"/>
  <c r="I9" i="2"/>
  <c r="Y9" i="2"/>
  <c r="G9" i="2"/>
  <c r="V9" i="2"/>
  <c r="F9" i="2"/>
  <c r="X9" i="2"/>
  <c r="H9" i="2"/>
  <c r="W9" i="2"/>
  <c r="U9" i="2"/>
  <c r="E9" i="2"/>
  <c r="T9" i="2"/>
  <c r="S9" i="2"/>
  <c r="W14" i="2"/>
  <c r="F14" i="2"/>
  <c r="V14" i="2"/>
  <c r="U14" i="2"/>
  <c r="E14" i="2"/>
  <c r="T14" i="2"/>
  <c r="D14" i="2"/>
  <c r="S14" i="2"/>
  <c r="C14" i="2"/>
  <c r="R14" i="2"/>
  <c r="Q14" i="2"/>
  <c r="P14" i="2"/>
  <c r="O14" i="2"/>
  <c r="N14" i="2"/>
  <c r="M14" i="2"/>
  <c r="L14" i="2"/>
  <c r="Z14" i="2"/>
  <c r="J14" i="2"/>
  <c r="Y14" i="2"/>
  <c r="I14" i="2"/>
  <c r="K14" i="2"/>
  <c r="X14" i="2"/>
  <c r="H14" i="2"/>
  <c r="G14" i="2"/>
  <c r="L8" i="2"/>
  <c r="K8" i="2"/>
  <c r="Z8" i="2"/>
  <c r="J8" i="2"/>
  <c r="Y8" i="2"/>
  <c r="I8" i="2"/>
  <c r="X8" i="2"/>
  <c r="H8" i="2"/>
  <c r="W8" i="2"/>
  <c r="G8" i="2"/>
  <c r="V8" i="2"/>
  <c r="F8" i="2"/>
  <c r="U8" i="2"/>
  <c r="E8" i="2"/>
  <c r="T8" i="2"/>
  <c r="D8" i="2"/>
  <c r="S8" i="2"/>
  <c r="C8" i="2"/>
  <c r="R8" i="2"/>
  <c r="P8" i="2"/>
  <c r="O8" i="2"/>
  <c r="Q8" i="2"/>
  <c r="N8" i="2"/>
  <c r="M8" i="2"/>
  <c r="J10" i="2"/>
  <c r="Z10" i="2"/>
  <c r="Y10" i="2"/>
  <c r="I10" i="2"/>
  <c r="X10" i="2"/>
  <c r="H10" i="2"/>
  <c r="W10" i="2"/>
  <c r="G10" i="2"/>
  <c r="V10" i="2"/>
  <c r="F10" i="2"/>
  <c r="U10" i="2"/>
  <c r="E10" i="2"/>
  <c r="T10" i="2"/>
  <c r="D10" i="2"/>
  <c r="S10" i="2"/>
  <c r="C10" i="2"/>
  <c r="R10" i="2"/>
  <c r="Q10" i="2"/>
  <c r="P10" i="2"/>
  <c r="N10" i="2"/>
  <c r="M10" i="2"/>
  <c r="O10" i="2"/>
  <c r="L10" i="2"/>
  <c r="K10" i="2"/>
  <c r="L15" i="2"/>
  <c r="K15" i="2"/>
  <c r="Z15" i="2"/>
  <c r="J15" i="2"/>
  <c r="Y15" i="2"/>
  <c r="I15" i="2"/>
  <c r="X15" i="2"/>
  <c r="H15" i="2"/>
  <c r="W15" i="2"/>
  <c r="G15" i="2"/>
  <c r="V15" i="2"/>
  <c r="F15" i="2"/>
  <c r="U15" i="2"/>
  <c r="E15" i="2"/>
  <c r="T15" i="2"/>
  <c r="D15" i="2"/>
  <c r="S15" i="2"/>
  <c r="C15" i="2"/>
  <c r="P15" i="2"/>
  <c r="R15" i="2"/>
  <c r="Q15" i="2"/>
  <c r="O15" i="2"/>
  <c r="N15" i="2"/>
  <c r="M15" i="2"/>
  <c r="O6" i="2"/>
  <c r="N6" i="2"/>
  <c r="M6" i="2"/>
  <c r="L6" i="2"/>
  <c r="K6" i="2"/>
  <c r="Z6" i="2"/>
  <c r="J6" i="2"/>
  <c r="Y6" i="2"/>
  <c r="I6" i="2"/>
  <c r="X6" i="2"/>
  <c r="H6" i="2"/>
  <c r="W6" i="2"/>
  <c r="G6" i="2"/>
  <c r="V6" i="2"/>
  <c r="F6" i="2"/>
  <c r="U6" i="2"/>
  <c r="E6" i="2"/>
  <c r="D6" i="2"/>
  <c r="T6" i="2"/>
  <c r="Q6" i="2"/>
  <c r="S6" i="2"/>
  <c r="C6" i="2"/>
  <c r="R6" i="2"/>
  <c r="P6" i="2"/>
  <c r="V7" i="2"/>
  <c r="U7" i="2"/>
  <c r="T7" i="2"/>
  <c r="D7" i="2"/>
  <c r="S7" i="2"/>
  <c r="C7" i="2"/>
  <c r="R7" i="2"/>
  <c r="Q7" i="2"/>
  <c r="P7" i="2"/>
  <c r="O7" i="2"/>
  <c r="N7" i="2"/>
  <c r="M7" i="2"/>
  <c r="L7" i="2"/>
  <c r="K7" i="2"/>
  <c r="I7" i="2"/>
  <c r="X7" i="2"/>
  <c r="H7" i="2"/>
  <c r="Z7" i="2"/>
  <c r="J7" i="2"/>
  <c r="Y7" i="2"/>
  <c r="G7" i="2"/>
  <c r="W7" i="2"/>
  <c r="F7" i="2"/>
  <c r="E7" i="2"/>
  <c r="Q11" i="2"/>
  <c r="R11" i="2"/>
  <c r="Y12" i="2"/>
  <c r="S11" i="2"/>
  <c r="Z12" i="2"/>
  <c r="C11" i="2"/>
  <c r="J12" i="2"/>
  <c r="E11" i="2"/>
  <c r="L12" i="2"/>
  <c r="I5" i="1"/>
  <c r="F11" i="2"/>
  <c r="V11" i="2"/>
  <c r="M12" i="2"/>
  <c r="D11" i="2"/>
  <c r="T11" i="2"/>
  <c r="K12" i="2"/>
  <c r="U11" i="2"/>
  <c r="G11" i="2"/>
  <c r="N12" i="2"/>
  <c r="W11" i="2"/>
  <c r="H11" i="2"/>
  <c r="X11" i="2"/>
  <c r="O12" i="2"/>
  <c r="I11" i="2"/>
  <c r="Y11" i="2"/>
  <c r="P12" i="2"/>
  <c r="J11" i="2"/>
  <c r="Z11" i="2"/>
  <c r="Q12" i="2"/>
  <c r="K11" i="2"/>
  <c r="R12" i="2"/>
  <c r="L11" i="2"/>
  <c r="C12" i="2"/>
  <c r="S12" i="2"/>
  <c r="M8" i="1"/>
  <c r="F8" i="3" s="1"/>
  <c r="G8" i="3" s="1"/>
  <c r="M11" i="2"/>
  <c r="D12" i="2"/>
  <c r="T12" i="2"/>
  <c r="N11" i="2"/>
  <c r="E12" i="2"/>
  <c r="U12" i="2"/>
  <c r="O11" i="2"/>
  <c r="F12" i="2"/>
  <c r="V12" i="2"/>
  <c r="G12" i="2"/>
  <c r="W12" i="2"/>
  <c r="X12" i="2"/>
  <c r="H12" i="2"/>
  <c r="M5" i="1" l="1"/>
  <c r="F5" i="3" s="1"/>
  <c r="G5" i="3" s="1"/>
  <c r="M6" i="1"/>
  <c r="F6" i="3" s="1"/>
  <c r="G6" i="3" s="1"/>
  <c r="E7" i="3"/>
  <c r="M10" i="1"/>
  <c r="F10" i="3" s="1"/>
  <c r="G10" i="3" s="1"/>
  <c r="M16" i="1"/>
  <c r="F16" i="3" s="1"/>
  <c r="G16" i="3" s="1"/>
  <c r="M11" i="1"/>
  <c r="F11" i="3" s="1"/>
  <c r="G11" i="3" s="1"/>
  <c r="E12" i="3"/>
  <c r="E5" i="3"/>
  <c r="E15" i="3"/>
  <c r="M14" i="1"/>
  <c r="F14" i="3" s="1"/>
  <c r="G14" i="3" s="1"/>
  <c r="E9" i="3"/>
  <c r="M13" i="1"/>
  <c r="F13" i="3" s="1"/>
  <c r="G13" i="3" s="1"/>
  <c r="J17" i="1"/>
  <c r="H5" i="2"/>
  <c r="H17" i="2" s="1"/>
  <c r="W5" i="2"/>
  <c r="W17" i="2" s="1"/>
  <c r="V5" i="2"/>
  <c r="V17" i="2" s="1"/>
  <c r="F5" i="2"/>
  <c r="F17" i="2" s="1"/>
  <c r="U5" i="2"/>
  <c r="U17" i="2" s="1"/>
  <c r="E5" i="2"/>
  <c r="E17" i="2" s="1"/>
  <c r="T5" i="2"/>
  <c r="T17" i="2" s="1"/>
  <c r="D5" i="2"/>
  <c r="D17" i="2" s="1"/>
  <c r="S5" i="2"/>
  <c r="S17" i="2" s="1"/>
  <c r="C5" i="2"/>
  <c r="C17" i="2" s="1"/>
  <c r="R5" i="2"/>
  <c r="R17" i="2" s="1"/>
  <c r="Q5" i="2"/>
  <c r="Q17" i="2" s="1"/>
  <c r="P5" i="2"/>
  <c r="P17" i="2" s="1"/>
  <c r="O5" i="2"/>
  <c r="O17" i="2" s="1"/>
  <c r="N5" i="2"/>
  <c r="N17" i="2" s="1"/>
  <c r="I17" i="1"/>
  <c r="M5" i="2"/>
  <c r="M17" i="2" s="1"/>
  <c r="Z5" i="2"/>
  <c r="Z17" i="2" s="1"/>
  <c r="J5" i="2"/>
  <c r="J17" i="2" s="1"/>
  <c r="L5" i="2"/>
  <c r="L17" i="2" s="1"/>
  <c r="K5" i="2"/>
  <c r="K17" i="2" s="1"/>
  <c r="Y5" i="2"/>
  <c r="Y17" i="2" s="1"/>
  <c r="I5" i="2"/>
  <c r="I17" i="2" s="1"/>
  <c r="X5" i="2"/>
  <c r="X17" i="2" s="1"/>
  <c r="G5" i="2"/>
  <c r="G17" i="2" s="1"/>
  <c r="C18" i="2" l="1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E17" i="3"/>
  <c r="M17" i="1"/>
  <c r="F17" i="3"/>
</calcChain>
</file>

<file path=xl/sharedStrings.xml><?xml version="1.0" encoding="utf-8"?>
<sst xmlns="http://schemas.openxmlformats.org/spreadsheetml/2006/main" count="154" uniqueCount="126">
  <si>
    <t>FIXED ASSET REGISTER  ·  FY 2024–25</t>
  </si>
  <si>
    <t>Prepared in accordance with IAS 16 / IFRS  |  Straight-Line Method (SLM) &amp; Written-Down Value (WDV)</t>
  </si>
  <si>
    <t>COST &amp; DEPRECIATION PARAMETERS</t>
  </si>
  <si>
    <t>DEPRECIATION CALCULATIONS</t>
  </si>
  <si>
    <t>CARRYING AMOUNT</t>
  </si>
  <si>
    <t>#</t>
  </si>
  <si>
    <t>Asset Description</t>
  </si>
  <si>
    <t>Category</t>
  </si>
  <si>
    <t>Purchase Date</t>
  </si>
  <si>
    <t>Cost (₹)</t>
  </si>
  <si>
    <t>Useful Life
(Yrs)</t>
  </si>
  <si>
    <t>Method</t>
  </si>
  <si>
    <t>Annual Dep.
(₹)</t>
  </si>
  <si>
    <t>Monthly Dep.
(₹)</t>
  </si>
  <si>
    <t>Accum. Dep.
(₹)</t>
  </si>
  <si>
    <t>Dep. Rate
(%)</t>
  </si>
  <si>
    <t>Residual
Value (₹)</t>
  </si>
  <si>
    <t>NBV (₹)</t>
  </si>
  <si>
    <t>Notes / Location</t>
  </si>
  <si>
    <t>Dell Laptop – Finance Dept</t>
  </si>
  <si>
    <t>IT Equipment</t>
  </si>
  <si>
    <t>SLM</t>
  </si>
  <si>
    <t>Finance / Floor 2</t>
  </si>
  <si>
    <t>MacBook Pro – Design Team</t>
  </si>
  <si>
    <t>Design / Floor 3</t>
  </si>
  <si>
    <t>HP LaserJet Printer</t>
  </si>
  <si>
    <t>Admin / Floor 1</t>
  </si>
  <si>
    <t>CNC Milling Machine</t>
  </si>
  <si>
    <t>Machinery</t>
  </si>
  <si>
    <t>WDV</t>
  </si>
  <si>
    <t>Factory / Unit A</t>
  </si>
  <si>
    <t>Industrial Compressor</t>
  </si>
  <si>
    <t>Factory / Unit B</t>
  </si>
  <si>
    <t>Hydraulic Press – Model HX200</t>
  </si>
  <si>
    <t>Office Workstation Set (6 pcs)</t>
  </si>
  <si>
    <t>Furniture</t>
  </si>
  <si>
    <t>Open Office / F2</t>
  </si>
  <si>
    <t>Executive Board Room Table</t>
  </si>
  <si>
    <t>Boardroom / F4</t>
  </si>
  <si>
    <t>Steel Storage Shelving</t>
  </si>
  <si>
    <t>Warehouse</t>
  </si>
  <si>
    <t>Air Conditioning Unit (3 Tr)</t>
  </si>
  <si>
    <t>Plant &amp; Equip</t>
  </si>
  <si>
    <t>Server Room / F3</t>
  </si>
  <si>
    <t>CCTV Surveillance System</t>
  </si>
  <si>
    <t>All Floors</t>
  </si>
  <si>
    <t>Electric Forklift – Model EF3</t>
  </si>
  <si>
    <t>TOTAL</t>
  </si>
  <si>
    <t>COLOR LEGEND  (IFRS / Industry Standard)</t>
  </si>
  <si>
    <t xml:space="preserve">  Blue text:</t>
  </si>
  <si>
    <t>Hardcoded input – change these cells for your data</t>
  </si>
  <si>
    <t xml:space="preserve">  Black text:</t>
  </si>
  <si>
    <t>Formula / calculated value – do not overwrite</t>
  </si>
  <si>
    <t xml:space="preserve">  Green text:</t>
  </si>
  <si>
    <t>Net Book Value / cross-sheet links</t>
  </si>
  <si>
    <t>MONTHLY DEPRECIATION SCHEDULE  ·  Apr 2024 – Mar 2026</t>
  </si>
  <si>
    <t>Apr 2024</t>
  </si>
  <si>
    <t>May 2024</t>
  </si>
  <si>
    <t>Jun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</si>
  <si>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</si>
  <si>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</si>
  <si>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</si>
  <si>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</si>
  <si>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</si>
  <si>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</si>
  <si>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</si>
  <si>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</si>
  <si>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</si>
  <si>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</si>
  <si>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</si>
  <si>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</si>
  <si>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</si>
  <si>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</si>
  <si>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</si>
  <si>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</si>
  <si>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</si>
  <si>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</si>
  <si>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</si>
  <si>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</si>
  <si>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MONTHLY TOTAL</t>
  </si>
  <si>
    <t>CUMULATIVE TOTAL</t>
  </si>
  <si>
    <t>NET BOOK VALUE SUMMARY  ·  Balance Sheet Extract  ·  As at 31-Mar-2025</t>
  </si>
  <si>
    <t>IAS 16 – Property, Plant &amp; Equipment  |  All figures in Indian Rupees (₹)</t>
  </si>
  <si>
    <t>Original Cost (₹)</t>
  </si>
  <si>
    <t>Accum. Dep. (₹)</t>
  </si>
  <si>
    <t>% of Cost Remaining</t>
  </si>
  <si>
    <t>TOTAL – ALL ASSETS</t>
  </si>
  <si>
    <t>IAS 16 DISCLOSURE CHECKLIST</t>
  </si>
  <si>
    <t>✔  Measurement basis: Historical Cost</t>
  </si>
  <si>
    <t>✔  Depreciation methods: Straight-Line (SLM) and Written-Down Value (WDV) – disclosed per asset</t>
  </si>
  <si>
    <t>✔  Useful lives / depreciation rates disclosed for each asset class</t>
  </si>
  <si>
    <t>✔  Gross carrying amount and accumulated depreciation as at balance sheet date</t>
  </si>
  <si>
    <t>✔  Residual values reviewed annually (IAS 16.51); current values entered in Column L of Asset Register</t>
  </si>
  <si>
    <t>✔  No revaluation model applied; cost model adopted (IAS 16.30)</t>
  </si>
  <si>
    <t>✔  Impairment reviewed under IAS 36 – no impairment indicators noted for this period</t>
  </si>
  <si>
    <t>METHODOLOGY &amp; ASSUMPTIONS</t>
  </si>
  <si>
    <t>STANDARD</t>
  </si>
  <si>
    <t>Recognition</t>
  </si>
  <si>
    <t>An asset is recognised when it is probable future economic benefits will flow to the entity and cost can be measured reliably.</t>
  </si>
  <si>
    <t>Measurement – Initial</t>
  </si>
  <si>
    <t>Assets measured at cost: purchase price + directly attributable costs to bring asset to intended use.</t>
  </si>
  <si>
    <t>Measurement – Subsequent</t>
  </si>
  <si>
    <t>Cost model adopted (IAS 16.30). Assets carried at cost less accumulated depreciation and impairment losses.</t>
  </si>
  <si>
    <t>DEPRECIATION METHODS</t>
  </si>
  <si>
    <t>Straight-Line Method (SLM)</t>
  </si>
  <si>
    <t>Formula: Annual Dep. = (Cost − Residual Value) / Useful Life
Monthly Dep. = Annual Dep. / 12
Applied to: IT Equipment, Furniture, Plant &amp; Equipment (non-industrial)</t>
  </si>
  <si>
    <t>Written-Down Value (WDV)</t>
  </si>
  <si>
    <t>Formula: Annual Dep. = NBV at Start of Year × Depreciation Rate
WDV Rate = 1 − (Residual Value / Cost) ^ (1 / Useful Life)
Applied to: Machinery (industrial assets with accelerated wear)</t>
  </si>
  <si>
    <t>ASSUMPTIONS</t>
  </si>
  <si>
    <t>Residual Value</t>
  </si>
  <si>
    <t>Management estimate of realisable value at end of useful life. Reviewed annually per IAS 16.51.</t>
  </si>
  <si>
    <t>Useful Life</t>
  </si>
  <si>
    <t>Based on asset category, usage intensity, and manufacturer guidance. Reviewed at each balance sheet date.</t>
  </si>
  <si>
    <t>Depreciation Start</t>
  </si>
  <si>
    <t>Depreciation commences from the purchase / acquisition date (pro-rated).</t>
  </si>
  <si>
    <t>Report Date</t>
  </si>
  <si>
    <t>31 March 2025. Update cell P1 on the Asset Register sheet to change the valuation date.</t>
  </si>
  <si>
    <t>Currency</t>
  </si>
  <si>
    <t>All figures in Indian Rupees (₹). No foreign currency assets in current register.</t>
  </si>
  <si>
    <t>Impairment</t>
  </si>
  <si>
    <t>Reviewed under IAS 36. No impairment triggers identified for the current period.</t>
  </si>
  <si>
    <t>ASSET ID</t>
  </si>
  <si>
    <t xml:space="preserve">IAS 16 – Property, Plant and Equipment </t>
  </si>
  <si>
    <t xml:space="preserve">Monthly depreciation pulled from Asset Register  |  Figures in ₹  </t>
  </si>
  <si>
    <t>Acc D</t>
  </si>
  <si>
    <t>Ann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</si>
</sst>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yy"/>
    <numFmt numFmtId="165" formatCode="#,##0.00;\(#,##0.00\);\-"/>
    <numFmt numFmtId="166" formatCode="#,##0;\(#,##0\);\-"/>
    <numFmt numFmtId="167" formatCode="0.0%;\(0.0%\);\-"/>
  </numFmts>
  <fonts count="29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sz val="9"/>
      <color rgb="FF999999"/>
      <name val="Arial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0"/>
      <color rgb="FF375623"/>
      <name val="Arial"/>
      <charset val="1"/>
    </font>
    <font>
      <i/>
      <sz val="10"/>
      <color rgb="FF595959"/>
      <name val="Arial"/>
      <charset val="1"/>
    </font>
    <font>
      <b/>
      <sz val="10"/>
      <color rgb="FFC9A96E"/>
      <name val="Arial"/>
      <charset val="1"/>
    </font>
    <font>
      <b/>
      <sz val="9"/>
      <color rgb="FF1F3864"/>
      <name val="Arial"/>
      <charset val="1"/>
    </font>
    <font>
      <b/>
      <sz val="9"/>
      <color rgb="FF0000FF"/>
      <name val="Arial"/>
      <charset val="1"/>
    </font>
    <font>
      <sz val="9"/>
      <color rgb="FF595959"/>
      <name val="Arial"/>
      <charset val="1"/>
    </font>
    <font>
      <b/>
      <sz val="9"/>
      <color rgb="FF000000"/>
      <name val="Arial"/>
      <charset val="1"/>
    </font>
    <font>
      <b/>
      <sz val="9"/>
      <color rgb="FF375623"/>
      <name val="Arial"/>
      <charset val="1"/>
    </font>
    <font>
      <b/>
      <sz val="14"/>
      <color rgb="FFFFFFFF"/>
      <name val="Arial"/>
      <charset val="1"/>
    </font>
    <font>
      <sz val="10"/>
      <color rgb="FF008000"/>
      <name val="Arial"/>
      <charset val="1"/>
    </font>
    <font>
      <sz val="9"/>
      <color rgb="FF008000"/>
      <name val="Arial"/>
      <charset val="1"/>
    </font>
    <font>
      <b/>
      <sz val="10"/>
      <color rgb="FFED7D31"/>
      <name val="Arial"/>
      <charset val="1"/>
    </font>
    <font>
      <b/>
      <sz val="9"/>
      <color rgb="FFED7D31"/>
      <name val="Arial"/>
      <charset val="1"/>
    </font>
    <font>
      <sz val="9"/>
      <color rgb="FF000000"/>
      <name val="Arial"/>
      <charset val="1"/>
    </font>
    <font>
      <b/>
      <sz val="12"/>
      <color rgb="FFC9A96E"/>
      <name val="Arial"/>
      <charset val="1"/>
    </font>
    <font>
      <b/>
      <sz val="11"/>
      <color rgb="FF1F3864"/>
      <name val="Arial"/>
      <charset val="1"/>
    </font>
    <font>
      <sz val="9"/>
      <color rgb="FF375623"/>
      <name val="Arial"/>
      <charset val="1"/>
    </font>
    <font>
      <sz val="9"/>
      <color rgb="FFFFFFFF"/>
      <name val="Arial"/>
      <charset val="1"/>
    </font>
    <font>
      <sz val="11"/>
      <color theme="1"/>
      <name val="Calibri"/>
      <family val="2"/>
      <charset val="1"/>
    </font>
    <font>
      <sz val="9"/>
      <color rgb="FF000000"/>
      <name val="Arial"/>
      <family val="2"/>
    </font>
    <font>
      <b/>
      <sz val="16"/>
      <color rgb="FFFFFFFF"/>
      <name val="Arial"/>
      <family val="2"/>
    </font>
    <font>
      <b/>
      <sz val="9"/>
      <color theme="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2E4DA7"/>
      </patternFill>
    </fill>
    <fill>
      <patternFill patternType="solid">
        <fgColor rgb="FF2E4DA7"/>
        <bgColor rgb="FF1F3864"/>
      </patternFill>
    </fill>
    <fill>
      <patternFill patternType="solid">
        <fgColor rgb="FF4472C4"/>
        <bgColor rgb="FF2E4DA7"/>
      </patternFill>
    </fill>
    <fill>
      <patternFill patternType="solid">
        <fgColor rgb="FFEEF3FB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D9E2F3"/>
        <bgColor rgb="FFE2EFDA"/>
      </patternFill>
    </fill>
    <fill>
      <patternFill patternType="solid">
        <fgColor rgb="FFF2F2F2"/>
        <bgColor rgb="FFEEF3FB"/>
      </patternFill>
    </fill>
    <fill>
      <patternFill patternType="solid">
        <fgColor rgb="FFFFF2CC"/>
        <bgColor rgb="FFF2F2F2"/>
      </patternFill>
    </fill>
  </fills>
  <borders count="3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73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right" vertical="center"/>
    </xf>
    <xf numFmtId="166" fontId="5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right" vertical="center"/>
    </xf>
    <xf numFmtId="167" fontId="6" fillId="5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right" vertical="center"/>
    </xf>
    <xf numFmtId="166" fontId="5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right" vertical="center"/>
    </xf>
    <xf numFmtId="167" fontId="6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horizontal="right" vertical="center"/>
    </xf>
    <xf numFmtId="0" fontId="11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/>
    </xf>
    <xf numFmtId="0" fontId="0" fillId="4" borderId="0" xfId="0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/>
    </xf>
    <xf numFmtId="165" fontId="17" fillId="5" borderId="1" xfId="0" applyNumberFormat="1" applyFont="1" applyFill="1" applyBorder="1" applyAlignment="1">
      <alignment horizontal="right" vertical="center"/>
    </xf>
    <xf numFmtId="0" fontId="16" fillId="7" borderId="1" xfId="0" applyFont="1" applyFill="1" applyBorder="1" applyAlignment="1">
      <alignment horizontal="left" vertical="center"/>
    </xf>
    <xf numFmtId="165" fontId="17" fillId="7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18" fillId="10" borderId="1" xfId="0" applyFont="1" applyFill="1" applyBorder="1" applyAlignment="1">
      <alignment horizontal="left" vertical="center"/>
    </xf>
    <xf numFmtId="165" fontId="19" fillId="1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right" vertical="center"/>
    </xf>
    <xf numFmtId="167" fontId="20" fillId="5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65" fontId="16" fillId="7" borderId="1" xfId="0" applyNumberFormat="1" applyFont="1" applyFill="1" applyBorder="1" applyAlignment="1">
      <alignment horizontal="right" vertical="center"/>
    </xf>
    <xf numFmtId="167" fontId="20" fillId="7" borderId="1" xfId="0" applyNumberFormat="1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vertical="top" wrapText="1"/>
    </xf>
    <xf numFmtId="0" fontId="20" fillId="5" borderId="1" xfId="0" applyFont="1" applyFill="1" applyBorder="1" applyAlignment="1">
      <alignment vertical="top" wrapText="1"/>
    </xf>
    <xf numFmtId="0" fontId="10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24" fillId="4" borderId="1" xfId="0" applyFont="1" applyFill="1" applyBorder="1" applyAlignment="1">
      <alignment vertical="top" wrapText="1"/>
    </xf>
    <xf numFmtId="0" fontId="10" fillId="8" borderId="2" xfId="0" applyFont="1" applyFill="1" applyBorder="1" applyAlignment="1">
      <alignment horizontal="left" vertical="center"/>
    </xf>
    <xf numFmtId="0" fontId="12" fillId="9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6" borderId="2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 vertical="center"/>
    </xf>
    <xf numFmtId="0" fontId="0" fillId="3" borderId="0" xfId="0" applyFill="1"/>
    <xf numFmtId="0" fontId="22" fillId="8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6" fillId="5" borderId="1" xfId="0" applyFont="1" applyFill="1" applyBorder="1" applyAlignment="1">
      <alignment vertical="top" wrapText="1"/>
    </xf>
    <xf numFmtId="0" fontId="0" fillId="0" borderId="0" xfId="1" applyNumberFormat="1" applyFont="1"/>
    <xf numFmtId="2" fontId="0" fillId="0" borderId="0" xfId="1" applyNumberFormat="1" applyFont="1"/>
    <xf numFmtId="17" fontId="3" fillId="4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7" fillId="2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A96E"/>
      <rgbColor rgb="FF7F7F7F"/>
      <rgbColor rgb="FF9999FF"/>
      <rgbColor rgb="FF993366"/>
      <rgbColor rgb="FFFFF2CC"/>
      <rgbColor rgb="FFEEF3FB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D9E2F3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999999"/>
      <rgbColor rgb="FF1F3864"/>
      <rgbColor rgb="FF339966"/>
      <rgbColor rgb="FF003300"/>
      <rgbColor rgb="FF333300"/>
      <rgbColor rgb="FF993300"/>
      <rgbColor rgb="FF993366"/>
      <rgbColor rgb="FF2E4DA7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  <pageSetUpPr fitToPage="1"/>
  </sheetPr>
  <dimension ref="A1:P30"/>
  <sheetViews>
    <sheetView showGridLines="0" tabSelected="1" zoomScaleNormal="100" workbookViewId="0">
      <pane ySplit="4" topLeftCell="A5" activePane="bottomLeft" state="frozen"/>
      <selection pane="bottomLeft" activeCell="D31" sqref="D31"/>
    </sheetView>
  </sheetViews>
  <sheetFormatPr defaultColWidth="8.6640625" defaultRowHeight="14.4" x14ac:dyDescent="0.3"/>
  <cols>
    <col min="1" max="1" width="10.5546875" customWidth="1"/>
    <col min="2" max="2" width="27.21875" bestFit="1" customWidth="1"/>
    <col min="3" max="3" width="16" customWidth="1"/>
    <col min="4" max="5" width="13" customWidth="1"/>
    <col min="6" max="6" width="11.77734375" customWidth="1"/>
    <col min="7" max="10" width="13" customWidth="1"/>
    <col min="11" max="11" width="14" customWidth="1"/>
    <col min="12" max="12" width="13" customWidth="1"/>
    <col min="13" max="13" width="16" customWidth="1"/>
    <col min="14" max="14" width="22" customWidth="1"/>
    <col min="15" max="15" width="2.109375" customWidth="1"/>
    <col min="16" max="16" width="9.88671875" bestFit="1" customWidth="1"/>
  </cols>
  <sheetData>
    <row r="1" spans="1:16" ht="39.75" customHeight="1" x14ac:dyDescent="0.3">
      <c r="A1" s="71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P1" s="2">
        <f ca="1">TODAY()</f>
        <v>46126</v>
      </c>
    </row>
    <row r="2" spans="1:16" ht="18" customHeight="1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ht="27.75" customHeight="1" x14ac:dyDescent="0.3">
      <c r="A3" s="1"/>
      <c r="B3" s="58" t="s">
        <v>121</v>
      </c>
      <c r="C3" s="58"/>
      <c r="D3" s="58"/>
      <c r="E3" s="58" t="s">
        <v>2</v>
      </c>
      <c r="F3" s="58"/>
      <c r="G3" s="58"/>
      <c r="H3" s="58" t="s">
        <v>3</v>
      </c>
      <c r="I3" s="58"/>
      <c r="J3" s="58"/>
      <c r="K3" s="58"/>
      <c r="L3" s="58" t="s">
        <v>4</v>
      </c>
      <c r="M3" s="58"/>
      <c r="N3" s="58"/>
    </row>
    <row r="4" spans="1:16" s="65" customFormat="1" ht="21.75" customHeight="1" x14ac:dyDescent="0.3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64" t="s">
        <v>18</v>
      </c>
    </row>
    <row r="5" spans="1:16" x14ac:dyDescent="0.3">
      <c r="A5" s="4">
        <v>1</v>
      </c>
      <c r="B5" s="5" t="s">
        <v>19</v>
      </c>
      <c r="C5" s="6" t="s">
        <v>20</v>
      </c>
      <c r="D5" s="7">
        <v>44652</v>
      </c>
      <c r="E5" s="8">
        <v>85000</v>
      </c>
      <c r="F5" s="9">
        <v>10</v>
      </c>
      <c r="G5" s="6" t="s">
        <v>21</v>
      </c>
      <c r="H5" s="10">
        <f>IF(G5="SLM",(E5-L5)/F5,E5*(1-(L5/E5)^(1/F5)))</f>
        <v>8000</v>
      </c>
      <c r="I5" s="10">
        <f t="shared" ref="I5:I16" si="0">H5/12</f>
        <v>666.66666666666663</v>
      </c>
      <c r="J5" s="10">
        <f ca="1">IF(G5="SLM", MIN(YEARFRAC(D5,$P$1), F5)*H5, E5*(1-(1-(E5-L5)/E5/F5)^MIN(YEARFRAC(D5,$P$1), F5)))</f>
        <v>32288.888888888891</v>
      </c>
      <c r="K5" s="11">
        <f>IF(G5="SLM",1/F5,1-(L5/E5)^(1/F5))</f>
        <v>0.1</v>
      </c>
      <c r="L5" s="8">
        <v>5000</v>
      </c>
      <c r="M5" s="12">
        <f ca="1">E5-J5</f>
        <v>52711.111111111109</v>
      </c>
      <c r="N5" s="13" t="s">
        <v>22</v>
      </c>
    </row>
    <row r="6" spans="1:16" x14ac:dyDescent="0.3">
      <c r="A6" s="4">
        <v>2</v>
      </c>
      <c r="B6" s="14" t="s">
        <v>23</v>
      </c>
      <c r="C6" s="15" t="s">
        <v>20</v>
      </c>
      <c r="D6" s="16">
        <v>44941</v>
      </c>
      <c r="E6" s="17">
        <v>145000</v>
      </c>
      <c r="F6" s="18">
        <v>9</v>
      </c>
      <c r="G6" s="15" t="s">
        <v>21</v>
      </c>
      <c r="H6" s="19">
        <f t="shared" ref="H5:H16" si="1">IF(G6="SLM",(E6-L6)/F6,E6*(1-(L6/E6)^(1/F6)))</f>
        <v>15000</v>
      </c>
      <c r="I6" s="19">
        <f t="shared" si="0"/>
        <v>1250</v>
      </c>
      <c r="J6" s="19">
        <f ca="1">IF(G6="SLM",MIN(YEARFRAC(D6,$P$1),F6)*H6,E6*(1-(1-(E6-L6)/E6/(F6))^YEARFRAC(D6,$P$1)))</f>
        <v>48708.333333333336</v>
      </c>
      <c r="K6" s="20">
        <f>IF(G6="SLM",1/F6,1-(L6/E6)^(1/F6))</f>
        <v>0.1111111111111111</v>
      </c>
      <c r="L6" s="17">
        <v>10000</v>
      </c>
      <c r="M6" s="12">
        <f t="shared" ref="M5:M16" ca="1" si="2">E6-J6</f>
        <v>96291.666666666657</v>
      </c>
      <c r="N6" s="21" t="s">
        <v>24</v>
      </c>
    </row>
    <row r="7" spans="1:16" x14ac:dyDescent="0.3">
      <c r="A7" s="4">
        <v>3</v>
      </c>
      <c r="B7" s="5" t="s">
        <v>25</v>
      </c>
      <c r="C7" s="6" t="s">
        <v>20</v>
      </c>
      <c r="D7" s="7">
        <v>44378</v>
      </c>
      <c r="E7" s="8">
        <v>35000</v>
      </c>
      <c r="F7" s="9">
        <v>5</v>
      </c>
      <c r="G7" s="6" t="s">
        <v>21</v>
      </c>
      <c r="H7" s="10">
        <f t="shared" si="1"/>
        <v>6600</v>
      </c>
      <c r="I7" s="10">
        <f t="shared" si="0"/>
        <v>550</v>
      </c>
      <c r="J7" s="10">
        <f t="shared" ref="J5:J16" ca="1" si="3">IF(G7="SLM",MIN(YEARFRAC(D7,$P$1),F7)*H7,E7*(1-(1-(E7-L7)/E7/(F7))^YEARFRAC(D7,$P$1)))</f>
        <v>31588.333333333336</v>
      </c>
      <c r="K7" s="11">
        <f t="shared" ref="K5:K16" si="4">IF(G7="SLM",1/F7,1-(L7/E7)^(1/F7))</f>
        <v>0.2</v>
      </c>
      <c r="L7" s="8">
        <v>2000</v>
      </c>
      <c r="M7" s="12">
        <f t="shared" ca="1" si="2"/>
        <v>3411.6666666666642</v>
      </c>
      <c r="N7" s="13" t="s">
        <v>26</v>
      </c>
    </row>
    <row r="8" spans="1:16" x14ac:dyDescent="0.3">
      <c r="A8" s="4">
        <v>4</v>
      </c>
      <c r="B8" s="14" t="s">
        <v>27</v>
      </c>
      <c r="C8" s="15" t="s">
        <v>28</v>
      </c>
      <c r="D8" s="16">
        <v>44075</v>
      </c>
      <c r="E8" s="17">
        <v>850000</v>
      </c>
      <c r="F8" s="18">
        <v>10</v>
      </c>
      <c r="G8" s="15" t="s">
        <v>29</v>
      </c>
      <c r="H8" s="19">
        <f t="shared" si="1"/>
        <v>209713.95931371691</v>
      </c>
      <c r="I8" s="19">
        <f t="shared" si="0"/>
        <v>17476.163276143077</v>
      </c>
      <c r="J8" s="19">
        <f t="shared" ca="1" si="3"/>
        <v>362262.34300342924</v>
      </c>
      <c r="K8" s="20">
        <f t="shared" si="4"/>
        <v>0.24672230507496107</v>
      </c>
      <c r="L8" s="17">
        <v>50000</v>
      </c>
      <c r="M8" s="12">
        <f t="shared" ca="1" si="2"/>
        <v>487737.65699657076</v>
      </c>
      <c r="N8" s="21" t="s">
        <v>30</v>
      </c>
    </row>
    <row r="9" spans="1:16" x14ac:dyDescent="0.3">
      <c r="A9" s="4">
        <v>5</v>
      </c>
      <c r="B9" s="5" t="s">
        <v>31</v>
      </c>
      <c r="C9" s="6" t="s">
        <v>28</v>
      </c>
      <c r="D9" s="7">
        <v>44270</v>
      </c>
      <c r="E9" s="8">
        <v>320000</v>
      </c>
      <c r="F9" s="9">
        <v>8</v>
      </c>
      <c r="G9" s="6" t="s">
        <v>29</v>
      </c>
      <c r="H9" s="10">
        <f>IF(G9="SLM",(E9-L9)/F9,E9*(1-(L9/E9)^(1/F9)))</f>
        <v>93725.830020304784</v>
      </c>
      <c r="I9" s="10">
        <f t="shared" si="0"/>
        <v>7810.485835025399</v>
      </c>
      <c r="J9" s="10">
        <f ca="1">IF(G9="SLM",MIN(YEARFRAC(D9,$P$1),F9)*H9,E9*(1-(1-(E9-L9)/E9/(F9))^YEARFRAC(D9,$P$1)))</f>
        <v>150124.10715731391</v>
      </c>
      <c r="K9" s="11">
        <f>IF(G9="SLM",1/F9,1-(L9/E9)^(1/F9))</f>
        <v>0.29289321881345243</v>
      </c>
      <c r="L9" s="8">
        <v>20000</v>
      </c>
      <c r="M9" s="12">
        <f t="shared" ca="1" si="2"/>
        <v>169875.89284268609</v>
      </c>
      <c r="N9" s="13" t="s">
        <v>32</v>
      </c>
    </row>
    <row r="10" spans="1:16" x14ac:dyDescent="0.3">
      <c r="A10" s="4">
        <v>6</v>
      </c>
      <c r="B10" s="14" t="s">
        <v>33</v>
      </c>
      <c r="C10" s="15" t="s">
        <v>28</v>
      </c>
      <c r="D10" s="16">
        <v>44866</v>
      </c>
      <c r="E10" s="17">
        <v>560000</v>
      </c>
      <c r="F10" s="18">
        <v>10</v>
      </c>
      <c r="G10" s="15" t="s">
        <v>29</v>
      </c>
      <c r="H10" s="19">
        <f>IF(G10="SLM",(E10-L10)/F10,E10*(1-(L10/E10)^(1/F10)))</f>
        <v>142091.36021741375</v>
      </c>
      <c r="I10" s="19">
        <f t="shared" si="0"/>
        <v>11840.94668478448</v>
      </c>
      <c r="J10" s="19">
        <f ca="1">IF(G10="SLM",MIN(YEARFRAC(D10,$P$1),F10)*H10,E10*(1-(1-(E10-L10)/E10/(F10))^YEARFRAC(D10,$P$1)))</f>
        <v>162719.86581047639</v>
      </c>
      <c r="K10" s="20">
        <f>IF(G10="SLM",1/F10,1-(L10/E10)^(1/F10))</f>
        <v>0.25373457181681025</v>
      </c>
      <c r="L10" s="17">
        <v>30000</v>
      </c>
      <c r="M10" s="12">
        <f t="shared" ca="1" si="2"/>
        <v>397280.13418952364</v>
      </c>
      <c r="N10" s="21" t="s">
        <v>30</v>
      </c>
    </row>
    <row r="11" spans="1:16" x14ac:dyDescent="0.3">
      <c r="A11" s="4">
        <v>7</v>
      </c>
      <c r="B11" s="5" t="s">
        <v>34</v>
      </c>
      <c r="C11" s="6" t="s">
        <v>35</v>
      </c>
      <c r="D11" s="7">
        <v>44713</v>
      </c>
      <c r="E11" s="8">
        <v>72000</v>
      </c>
      <c r="F11" s="9">
        <v>5</v>
      </c>
      <c r="G11" s="6" t="s">
        <v>21</v>
      </c>
      <c r="H11" s="10">
        <f t="shared" si="1"/>
        <v>13400</v>
      </c>
      <c r="I11" s="10">
        <f t="shared" si="0"/>
        <v>1116.6666666666667</v>
      </c>
      <c r="J11" s="10">
        <f t="shared" ca="1" si="3"/>
        <v>51850.555555555555</v>
      </c>
      <c r="K11" s="11">
        <f t="shared" si="4"/>
        <v>0.2</v>
      </c>
      <c r="L11" s="8">
        <v>5000</v>
      </c>
      <c r="M11" s="12">
        <f t="shared" ca="1" si="2"/>
        <v>20149.444444444445</v>
      </c>
      <c r="N11" s="13" t="s">
        <v>36</v>
      </c>
    </row>
    <row r="12" spans="1:16" x14ac:dyDescent="0.3">
      <c r="A12" s="4">
        <v>8</v>
      </c>
      <c r="B12" s="14" t="s">
        <v>37</v>
      </c>
      <c r="C12" s="15" t="s">
        <v>35</v>
      </c>
      <c r="D12" s="16">
        <v>44986</v>
      </c>
      <c r="E12" s="17">
        <v>95000</v>
      </c>
      <c r="F12" s="18">
        <v>8</v>
      </c>
      <c r="G12" s="15" t="s">
        <v>21</v>
      </c>
      <c r="H12" s="19">
        <f t="shared" si="1"/>
        <v>10875</v>
      </c>
      <c r="I12" s="19">
        <f t="shared" si="0"/>
        <v>906.25</v>
      </c>
      <c r="J12" s="19">
        <f t="shared" ca="1" si="3"/>
        <v>33923.958333333336</v>
      </c>
      <c r="K12" s="20">
        <f t="shared" si="4"/>
        <v>0.125</v>
      </c>
      <c r="L12" s="17">
        <v>8000</v>
      </c>
      <c r="M12" s="12">
        <f t="shared" ca="1" si="2"/>
        <v>61076.041666666664</v>
      </c>
      <c r="N12" s="21" t="s">
        <v>38</v>
      </c>
    </row>
    <row r="13" spans="1:16" x14ac:dyDescent="0.3">
      <c r="A13" s="4">
        <v>9</v>
      </c>
      <c r="B13" s="5" t="s">
        <v>39</v>
      </c>
      <c r="C13" s="6" t="s">
        <v>35</v>
      </c>
      <c r="D13" s="7">
        <v>44531</v>
      </c>
      <c r="E13" s="8">
        <v>28000</v>
      </c>
      <c r="F13" s="9">
        <v>5</v>
      </c>
      <c r="G13" s="6" t="s">
        <v>21</v>
      </c>
      <c r="H13" s="10">
        <f t="shared" si="1"/>
        <v>5400</v>
      </c>
      <c r="I13" s="10">
        <f t="shared" si="0"/>
        <v>450</v>
      </c>
      <c r="J13" s="10">
        <f t="shared" ca="1" si="3"/>
        <v>23595</v>
      </c>
      <c r="K13" s="11">
        <f t="shared" si="4"/>
        <v>0.2</v>
      </c>
      <c r="L13" s="8">
        <v>1000</v>
      </c>
      <c r="M13" s="12">
        <f t="shared" ca="1" si="2"/>
        <v>4405</v>
      </c>
      <c r="N13" s="13" t="s">
        <v>40</v>
      </c>
    </row>
    <row r="14" spans="1:16" x14ac:dyDescent="0.3">
      <c r="A14" s="4">
        <v>10</v>
      </c>
      <c r="B14" s="14" t="s">
        <v>41</v>
      </c>
      <c r="C14" s="15" t="s">
        <v>42</v>
      </c>
      <c r="D14" s="16">
        <v>44788</v>
      </c>
      <c r="E14" s="17">
        <v>115000</v>
      </c>
      <c r="F14" s="18">
        <v>10</v>
      </c>
      <c r="G14" s="15" t="s">
        <v>21</v>
      </c>
      <c r="H14" s="19">
        <f t="shared" si="1"/>
        <v>10500</v>
      </c>
      <c r="I14" s="19">
        <f t="shared" si="0"/>
        <v>875</v>
      </c>
      <c r="J14" s="19">
        <f t="shared" ca="1" si="3"/>
        <v>38470.833333333328</v>
      </c>
      <c r="K14" s="20">
        <f t="shared" si="4"/>
        <v>0.1</v>
      </c>
      <c r="L14" s="17">
        <v>10000</v>
      </c>
      <c r="M14" s="12">
        <f t="shared" ca="1" si="2"/>
        <v>76529.166666666672</v>
      </c>
      <c r="N14" s="21" t="s">
        <v>43</v>
      </c>
    </row>
    <row r="15" spans="1:16" x14ac:dyDescent="0.3">
      <c r="A15" s="4">
        <v>11</v>
      </c>
      <c r="B15" s="5" t="s">
        <v>44</v>
      </c>
      <c r="C15" s="6" t="s">
        <v>42</v>
      </c>
      <c r="D15" s="7">
        <v>45047</v>
      </c>
      <c r="E15" s="8">
        <v>68000</v>
      </c>
      <c r="F15" s="9">
        <v>5</v>
      </c>
      <c r="G15" s="6" t="s">
        <v>21</v>
      </c>
      <c r="H15" s="10">
        <f t="shared" si="1"/>
        <v>13000</v>
      </c>
      <c r="I15" s="10">
        <f t="shared" si="0"/>
        <v>1083.3333333333333</v>
      </c>
      <c r="J15" s="10">
        <f t="shared" ca="1" si="3"/>
        <v>38386.111111111117</v>
      </c>
      <c r="K15" s="11">
        <f t="shared" si="4"/>
        <v>0.2</v>
      </c>
      <c r="L15" s="8">
        <v>3000</v>
      </c>
      <c r="M15" s="12">
        <f t="shared" ca="1" si="2"/>
        <v>29613.888888888883</v>
      </c>
      <c r="N15" s="13" t="s">
        <v>45</v>
      </c>
    </row>
    <row r="16" spans="1:16" x14ac:dyDescent="0.3">
      <c r="A16" s="4">
        <v>12</v>
      </c>
      <c r="B16" s="14" t="s">
        <v>46</v>
      </c>
      <c r="C16" s="15" t="s">
        <v>42</v>
      </c>
      <c r="D16" s="16">
        <v>43983</v>
      </c>
      <c r="E16" s="17">
        <v>425000</v>
      </c>
      <c r="F16" s="18">
        <v>8</v>
      </c>
      <c r="G16" s="15" t="s">
        <v>29</v>
      </c>
      <c r="H16" s="19">
        <f t="shared" si="1"/>
        <v>126748.37753367155</v>
      </c>
      <c r="I16" s="19">
        <f t="shared" si="0"/>
        <v>10562.364794472629</v>
      </c>
      <c r="J16" s="19">
        <f t="shared" ca="1" si="3"/>
        <v>221136.4179192819</v>
      </c>
      <c r="K16" s="20">
        <f t="shared" si="4"/>
        <v>0.29823147654981541</v>
      </c>
      <c r="L16" s="17">
        <v>25000</v>
      </c>
      <c r="M16" s="12">
        <f t="shared" ca="1" si="2"/>
        <v>203863.5820807181</v>
      </c>
      <c r="N16" s="21" t="s">
        <v>40</v>
      </c>
    </row>
    <row r="17" spans="1:14" ht="21.75" customHeight="1" x14ac:dyDescent="0.3">
      <c r="A17" s="22"/>
      <c r="B17" s="23" t="s">
        <v>47</v>
      </c>
      <c r="C17" s="24"/>
      <c r="D17" s="24"/>
      <c r="E17" s="25">
        <f>SUM(E5:E16)</f>
        <v>2798000</v>
      </c>
      <c r="F17" s="24"/>
      <c r="G17" s="24"/>
      <c r="H17" s="25">
        <f>SUM(H5:H16)</f>
        <v>655054.52708510694</v>
      </c>
      <c r="I17" s="25">
        <f>SUM(I5:I16)</f>
        <v>54587.877257092259</v>
      </c>
      <c r="J17" s="25">
        <f ca="1">SUM(J5:J16)</f>
        <v>1195054.7477793903</v>
      </c>
      <c r="K17" s="24"/>
      <c r="L17" s="25">
        <f>SUM(L5:L16)</f>
        <v>169000</v>
      </c>
      <c r="M17" s="25">
        <f ca="1">SUM(M5:M16)</f>
        <v>1602945.2522206102</v>
      </c>
      <c r="N17" s="24"/>
    </row>
    <row r="19" spans="1:14" x14ac:dyDescent="0.3">
      <c r="A19" s="55" t="s">
        <v>48</v>
      </c>
      <c r="B19" s="55"/>
      <c r="C19" s="55"/>
      <c r="D19" s="55"/>
      <c r="E19" s="55"/>
      <c r="F19" s="55"/>
      <c r="G19" s="55"/>
    </row>
    <row r="20" spans="1:14" x14ac:dyDescent="0.3">
      <c r="A20" s="26" t="s">
        <v>49</v>
      </c>
      <c r="B20" s="56" t="s">
        <v>50</v>
      </c>
      <c r="C20" s="56"/>
      <c r="D20" s="56"/>
      <c r="E20" s="56"/>
      <c r="F20" s="56"/>
      <c r="G20" s="56"/>
    </row>
    <row r="21" spans="1:14" x14ac:dyDescent="0.3">
      <c r="A21" s="27" t="s">
        <v>51</v>
      </c>
      <c r="B21" s="56" t="s">
        <v>52</v>
      </c>
      <c r="C21" s="56"/>
      <c r="D21" s="56"/>
      <c r="E21" s="56"/>
      <c r="F21" s="56"/>
      <c r="G21" s="56"/>
    </row>
    <row r="22" spans="1:14" x14ac:dyDescent="0.3">
      <c r="A22" s="28" t="s">
        <v>53</v>
      </c>
      <c r="B22" s="56" t="s">
        <v>54</v>
      </c>
      <c r="C22" s="56"/>
      <c r="D22" s="56"/>
      <c r="E22" s="56"/>
      <c r="F22" s="56"/>
      <c r="G22" s="56"/>
    </row>
    <row r="24" spans="1:14" x14ac:dyDescent="0.3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8" spans="1:14" x14ac:dyDescent="0.3">
      <c r="H28" t="s">
        <v>124</v>
      </c>
      <c r="I28" t="s">
        <v>125</v>
      </c>
    </row>
    <row r="29" spans="1:14" x14ac:dyDescent="0.3">
      <c r="G29" t="s">
        <v>21</v>
      </c>
      <c r="H29">
        <f ca="1">MIN(YEARFRAC(D5,P1),F5)*H5</f>
        <v>32288.888888888891</v>
      </c>
      <c r="I29" s="67">
        <f>1-((E5/L5)^(1/F5))*E5</f>
        <v>-112839.19236552414</v>
      </c>
    </row>
    <row r="30" spans="1:14" x14ac:dyDescent="0.3">
      <c r="G30" t="s">
        <v>29</v>
      </c>
      <c r="H30" s="68">
        <f ca="1">E5*(1-(1-((E5-L5)/E5/F5)^MIN(YEARFRAC(D5,P1),F5)))</f>
        <v>6.1240861643352407</v>
      </c>
    </row>
  </sheetData>
  <mergeCells count="11">
    <mergeCell ref="A1:N1"/>
    <mergeCell ref="A2:N2"/>
    <mergeCell ref="B3:D3"/>
    <mergeCell ref="E3:G3"/>
    <mergeCell ref="H3:K3"/>
    <mergeCell ref="L3:N3"/>
    <mergeCell ref="A19:G19"/>
    <mergeCell ref="B20:G20"/>
    <mergeCell ref="B21:G21"/>
    <mergeCell ref="B22:G22"/>
    <mergeCell ref="A24:N24"/>
  </mergeCells>
  <pageMargins left="0.5" right="0.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Z18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29" sqref="H29"/>
    </sheetView>
  </sheetViews>
  <sheetFormatPr defaultColWidth="8.6640625" defaultRowHeight="14.4" x14ac:dyDescent="0.3"/>
  <cols>
    <col min="1" max="1" width="5" customWidth="1"/>
    <col min="2" max="2" width="26" customWidth="1"/>
    <col min="3" max="26" width="11" customWidth="1"/>
  </cols>
  <sheetData>
    <row r="1" spans="1:26" ht="36" customHeight="1" x14ac:dyDescent="0.3">
      <c r="A1" s="59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5.75" customHeight="1" x14ac:dyDescent="0.3">
      <c r="A2" s="72" t="s">
        <v>123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19.5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31.5" customHeight="1" x14ac:dyDescent="0.3">
      <c r="A4" s="30" t="s">
        <v>5</v>
      </c>
      <c r="B4" s="31" t="s">
        <v>6</v>
      </c>
      <c r="C4" s="3" t="s">
        <v>56</v>
      </c>
      <c r="D4" s="32" t="s">
        <v>57</v>
      </c>
      <c r="E4" s="3" t="s">
        <v>58</v>
      </c>
      <c r="F4" s="69">
        <v>45474</v>
      </c>
      <c r="G4" s="3" t="s">
        <v>59</v>
      </c>
      <c r="H4" s="32" t="s">
        <v>60</v>
      </c>
      <c r="I4" s="3" t="s">
        <v>61</v>
      </c>
      <c r="J4" s="32" t="s">
        <v>62</v>
      </c>
      <c r="K4" s="3" t="s">
        <v>63</v>
      </c>
      <c r="L4" s="32" t="s">
        <v>64</v>
      </c>
      <c r="M4" s="3" t="s">
        <v>65</v>
      </c>
      <c r="N4" s="32" t="s">
        <v>66</v>
      </c>
      <c r="O4" s="3" t="s">
        <v>67</v>
      </c>
      <c r="P4" s="32" t="s">
        <v>68</v>
      </c>
      <c r="Q4" s="3" t="s">
        <v>69</v>
      </c>
      <c r="R4" s="32" t="s">
        <v>70</v>
      </c>
      <c r="S4" s="3" t="s">
        <v>71</v>
      </c>
      <c r="T4" s="32" t="s">
        <v>72</v>
      </c>
      <c r="U4" s="3" t="s">
        <v>73</v>
      </c>
      <c r="V4" s="32" t="s">
        <v>74</v>
      </c>
      <c r="W4" s="3" t="s">
        <v>75</v>
      </c>
      <c r="X4" s="32" t="s">
        <v>76</v>
      </c>
      <c r="Y4" s="3" t="s">
        <v>77</v>
      </c>
      <c r="Z4" s="32" t="s">
        <v>78</v>
      </c>
    </row>
    <row r="5" spans="1:26" x14ac:dyDescent="0.3">
      <c r="A5" s="4">
        <v>1</v>
      </c>
      <c r="B5" s="33" t="str">
        <f>'Asset Register'!B5</f>
        <v>Dell Laptop – Finance Dept</v>
      </c>
      <c r="C5" s="34">
        <f>IF(DATE(2024,4,1)&gt;='Asset Register'!D5,'Asset Register'!I5,0)</f>
        <v>666.66666666666663</v>
      </c>
      <c r="D5" s="34">
        <f>IF(DATE(2024,5,1)&gt;='Asset Register'!D5,'Asset Register'!I5,0)</f>
        <v>666.66666666666663</v>
      </c>
      <c r="E5" s="34">
        <f>IF(DATE(2024,6,1)&gt;='Asset Register'!D5,'Asset Register'!I5,0)</f>
        <v>666.66666666666663</v>
      </c>
      <c r="F5" s="34">
        <f>IF(DATE(2024,7,1)&gt;='Asset Register'!D5,'Asset Register'!I5,0)</f>
        <v>666.66666666666663</v>
      </c>
      <c r="G5" s="34">
        <f>IF(DATE(2024,8,1)&gt;='Asset Register'!D5,'Asset Register'!I5,0)</f>
        <v>666.66666666666663</v>
      </c>
      <c r="H5" s="34">
        <f>IF(DATE(2024,9,1)&gt;='Asset Register'!D5,'Asset Register'!I5,0)</f>
        <v>666.66666666666663</v>
      </c>
      <c r="I5" s="34">
        <f>IF(DATE(2024,10,1)&gt;='Asset Register'!D5,'Asset Register'!I5,0)</f>
        <v>666.66666666666663</v>
      </c>
      <c r="J5" s="34">
        <f>IF(DATE(2024,11,1)&gt;='Asset Register'!D5,'Asset Register'!I5,0)</f>
        <v>666.66666666666663</v>
      </c>
      <c r="K5" s="34">
        <f>IF(DATE(2024,12,1)&gt;='Asset Register'!D5,'Asset Register'!I5,0)</f>
        <v>666.66666666666663</v>
      </c>
      <c r="L5" s="34">
        <f>IF(DATE(2025,1,1)&gt;='Asset Register'!D5,'Asset Register'!I5,0)</f>
        <v>666.66666666666663</v>
      </c>
      <c r="M5" s="34">
        <f>IF(DATE(2025,2,1)&gt;='Asset Register'!D5,'Asset Register'!I5,0)</f>
        <v>666.66666666666663</v>
      </c>
      <c r="N5" s="34">
        <f>IF(DATE(2025,3,1)&gt;='Asset Register'!D5,'Asset Register'!I5,0)</f>
        <v>666.66666666666663</v>
      </c>
      <c r="O5" s="34">
        <f>IF(DATE(2025,4,1)&gt;='Asset Register'!D5,'Asset Register'!I5,0)</f>
        <v>666.66666666666663</v>
      </c>
      <c r="P5" s="34">
        <f>IF(DATE(2025,5,1)&gt;='Asset Register'!D5,'Asset Register'!I5,0)</f>
        <v>666.66666666666663</v>
      </c>
      <c r="Q5" s="34">
        <f>IF(DATE(2025,6,1)&gt;='Asset Register'!D5,'Asset Register'!I5,0)</f>
        <v>666.66666666666663</v>
      </c>
      <c r="R5" s="34">
        <f>IF(DATE(2025,7,1)&gt;='Asset Register'!D5,'Asset Register'!I5,0)</f>
        <v>666.66666666666663</v>
      </c>
      <c r="S5" s="34">
        <f>IF(DATE(2025,8,1)&gt;='Asset Register'!D5,'Asset Register'!I5,0)</f>
        <v>666.66666666666663</v>
      </c>
      <c r="T5" s="34">
        <f>IF(DATE(2025,9,1)&gt;='Asset Register'!D5,'Asset Register'!I5,0)</f>
        <v>666.66666666666663</v>
      </c>
      <c r="U5" s="34">
        <f>IF(DATE(2025,10,1)&gt;='Asset Register'!D5,'Asset Register'!I5,0)</f>
        <v>666.66666666666663</v>
      </c>
      <c r="V5" s="34">
        <f>IF(DATE(2025,11,1)&gt;='Asset Register'!D5,'Asset Register'!I5,0)</f>
        <v>666.66666666666663</v>
      </c>
      <c r="W5" s="34">
        <f>IF(DATE(2025,12,1)&gt;='Asset Register'!D5,'Asset Register'!I5,0)</f>
        <v>666.66666666666663</v>
      </c>
      <c r="X5" s="34">
        <f>IF(DATE(2026,1,1)&gt;='Asset Register'!D5,'Asset Register'!I5,0)</f>
        <v>666.66666666666663</v>
      </c>
      <c r="Y5" s="34">
        <f>IF(DATE(2026,2,1)&gt;='Asset Register'!D5,'Asset Register'!I5,0)</f>
        <v>666.66666666666663</v>
      </c>
      <c r="Z5" s="34">
        <f>IF(DATE(2026,3,1)&gt;='Asset Register'!D5,'Asset Register'!I5,0)</f>
        <v>666.66666666666663</v>
      </c>
    </row>
    <row r="6" spans="1:26" x14ac:dyDescent="0.3">
      <c r="A6" s="4">
        <v>2</v>
      </c>
      <c r="B6" s="35" t="str">
        <f>'Asset Register'!B6</f>
        <v>MacBook Pro – Design Team</v>
      </c>
      <c r="C6" s="36">
        <f>IF(DATE(2024,4,1)&gt;='Asset Register'!D6,'Asset Register'!I6,0)</f>
        <v>1250</v>
      </c>
      <c r="D6" s="36">
        <f>IF(DATE(2024,5,1)&gt;='Asset Register'!D6,'Asset Register'!I6,0)</f>
        <v>1250</v>
      </c>
      <c r="E6" s="36">
        <f>IF(DATE(2024,6,1)&gt;='Asset Register'!D6,'Asset Register'!I6,0)</f>
        <v>1250</v>
      </c>
      <c r="F6" s="36">
        <f>IF(DATE(2024,7,1)&gt;='Asset Register'!D6,'Asset Register'!I6,0)</f>
        <v>1250</v>
      </c>
      <c r="G6" s="36">
        <f>IF(DATE(2024,8,1)&gt;='Asset Register'!D6,'Asset Register'!I6,0)</f>
        <v>1250</v>
      </c>
      <c r="H6" s="36">
        <f>IF(DATE(2024,9,1)&gt;='Asset Register'!D6,'Asset Register'!I6,0)</f>
        <v>1250</v>
      </c>
      <c r="I6" s="36">
        <f>IF(DATE(2024,10,1)&gt;='Asset Register'!D6,'Asset Register'!I6,0)</f>
        <v>1250</v>
      </c>
      <c r="J6" s="36">
        <f>IF(DATE(2024,11,1)&gt;='Asset Register'!D6,'Asset Register'!I6,0)</f>
        <v>1250</v>
      </c>
      <c r="K6" s="36">
        <f>IF(DATE(2024,12,1)&gt;='Asset Register'!D6,'Asset Register'!I6,0)</f>
        <v>1250</v>
      </c>
      <c r="L6" s="36">
        <f>IF(DATE(2025,1,1)&gt;='Asset Register'!D6,'Asset Register'!I6,0)</f>
        <v>1250</v>
      </c>
      <c r="M6" s="36">
        <f>IF(DATE(2025,2,1)&gt;='Asset Register'!D6,'Asset Register'!I6,0)</f>
        <v>1250</v>
      </c>
      <c r="N6" s="36">
        <f>IF(DATE(2025,3,1)&gt;='Asset Register'!D6,'Asset Register'!I6,0)</f>
        <v>1250</v>
      </c>
      <c r="O6" s="36">
        <f>IF(DATE(2025,4,1)&gt;='Asset Register'!D6,'Asset Register'!I6,0)</f>
        <v>1250</v>
      </c>
      <c r="P6" s="36">
        <f>IF(DATE(2025,5,1)&gt;='Asset Register'!D6,'Asset Register'!I6,0)</f>
        <v>1250</v>
      </c>
      <c r="Q6" s="36">
        <f>IF(DATE(2025,6,1)&gt;='Asset Register'!D6,'Asset Register'!I6,0)</f>
        <v>1250</v>
      </c>
      <c r="R6" s="36">
        <f>IF(DATE(2025,7,1)&gt;='Asset Register'!D6,'Asset Register'!I6,0)</f>
        <v>1250</v>
      </c>
      <c r="S6" s="36">
        <f>IF(DATE(2025,8,1)&gt;='Asset Register'!D6,'Asset Register'!I6,0)</f>
        <v>1250</v>
      </c>
      <c r="T6" s="36">
        <f>IF(DATE(2025,9,1)&gt;='Asset Register'!D6,'Asset Register'!I6,0)</f>
        <v>1250</v>
      </c>
      <c r="U6" s="36">
        <f>IF(DATE(2025,10,1)&gt;='Asset Register'!D6,'Asset Register'!I6,0)</f>
        <v>1250</v>
      </c>
      <c r="V6" s="36">
        <f>IF(DATE(2025,11,1)&gt;='Asset Register'!D6,'Asset Register'!I6,0)</f>
        <v>1250</v>
      </c>
      <c r="W6" s="36">
        <f>IF(DATE(2025,12,1)&gt;='Asset Register'!D6,'Asset Register'!I6,0)</f>
        <v>1250</v>
      </c>
      <c r="X6" s="36">
        <f>IF(DATE(2026,1,1)&gt;='Asset Register'!D6,'Asset Register'!I6,0)</f>
        <v>1250</v>
      </c>
      <c r="Y6" s="36">
        <f>IF(DATE(2026,2,1)&gt;='Asset Register'!D6,'Asset Register'!I6,0)</f>
        <v>1250</v>
      </c>
      <c r="Z6" s="36">
        <f>IF(DATE(2026,3,1)&gt;='Asset Register'!D6,'Asset Register'!I6,0)</f>
        <v>1250</v>
      </c>
    </row>
    <row r="7" spans="1:26" x14ac:dyDescent="0.3">
      <c r="A7" s="4">
        <v>3</v>
      </c>
      <c r="B7" s="33" t="str">
        <f>'Asset Register'!B7</f>
        <v>HP LaserJet Printer</v>
      </c>
      <c r="C7" s="34">
        <f>IF(DATE(2024,4,1)&gt;='Asset Register'!D7,'Asset Register'!I7,0)</f>
        <v>550</v>
      </c>
      <c r="D7" s="34">
        <f>IF(DATE(2024,5,1)&gt;='Asset Register'!D7,'Asset Register'!I7,0)</f>
        <v>550</v>
      </c>
      <c r="E7" s="34">
        <f>IF(DATE(2024,6,1)&gt;='Asset Register'!D7,'Asset Register'!I7,0)</f>
        <v>550</v>
      </c>
      <c r="F7" s="34">
        <f>IF(DATE(2024,7,1)&gt;='Asset Register'!D7,'Asset Register'!I7,0)</f>
        <v>550</v>
      </c>
      <c r="G7" s="34">
        <f>IF(DATE(2024,8,1)&gt;='Asset Register'!D7,'Asset Register'!I7,0)</f>
        <v>550</v>
      </c>
      <c r="H7" s="34">
        <f>IF(DATE(2024,9,1)&gt;='Asset Register'!D7,'Asset Register'!I7,0)</f>
        <v>550</v>
      </c>
      <c r="I7" s="34">
        <f>IF(DATE(2024,10,1)&gt;='Asset Register'!D7,'Asset Register'!I7,0)</f>
        <v>550</v>
      </c>
      <c r="J7" s="34">
        <f>IF(DATE(2024,11,1)&gt;='Asset Register'!D7,'Asset Register'!I7,0)</f>
        <v>550</v>
      </c>
      <c r="K7" s="34">
        <f>IF(DATE(2024,12,1)&gt;='Asset Register'!D7,'Asset Register'!I7,0)</f>
        <v>550</v>
      </c>
      <c r="L7" s="34">
        <f>IF(DATE(2025,1,1)&gt;='Asset Register'!D7,'Asset Register'!I7,0)</f>
        <v>550</v>
      </c>
      <c r="M7" s="34">
        <f>IF(DATE(2025,2,1)&gt;='Asset Register'!D7,'Asset Register'!I7,0)</f>
        <v>550</v>
      </c>
      <c r="N7" s="34">
        <f>IF(DATE(2025,3,1)&gt;='Asset Register'!D7,'Asset Register'!I7,0)</f>
        <v>550</v>
      </c>
      <c r="O7" s="34">
        <f>IF(DATE(2025,4,1)&gt;='Asset Register'!D7,'Asset Register'!I7,0)</f>
        <v>550</v>
      </c>
      <c r="P7" s="34">
        <f>IF(DATE(2025,5,1)&gt;='Asset Register'!D7,'Asset Register'!I7,0)</f>
        <v>550</v>
      </c>
      <c r="Q7" s="34">
        <f>IF(DATE(2025,6,1)&gt;='Asset Register'!D7,'Asset Register'!I7,0)</f>
        <v>550</v>
      </c>
      <c r="R7" s="34">
        <f>IF(DATE(2025,7,1)&gt;='Asset Register'!D7,'Asset Register'!I7,0)</f>
        <v>550</v>
      </c>
      <c r="S7" s="34">
        <f>IF(DATE(2025,8,1)&gt;='Asset Register'!D7,'Asset Register'!I7,0)</f>
        <v>550</v>
      </c>
      <c r="T7" s="34">
        <f>IF(DATE(2025,9,1)&gt;='Asset Register'!D7,'Asset Register'!I7,0)</f>
        <v>550</v>
      </c>
      <c r="U7" s="34">
        <f>IF(DATE(2025,10,1)&gt;='Asset Register'!D7,'Asset Register'!I7,0)</f>
        <v>550</v>
      </c>
      <c r="V7" s="34">
        <f>IF(DATE(2025,11,1)&gt;='Asset Register'!D7,'Asset Register'!I7,0)</f>
        <v>550</v>
      </c>
      <c r="W7" s="34">
        <f>IF(DATE(2025,12,1)&gt;='Asset Register'!D7,'Asset Register'!I7,0)</f>
        <v>550</v>
      </c>
      <c r="X7" s="34">
        <f>IF(DATE(2026,1,1)&gt;='Asset Register'!D7,'Asset Register'!I7,0)</f>
        <v>550</v>
      </c>
      <c r="Y7" s="34">
        <f>IF(DATE(2026,2,1)&gt;='Asset Register'!D7,'Asset Register'!I7,0)</f>
        <v>550</v>
      </c>
      <c r="Z7" s="34">
        <f>IF(DATE(2026,3,1)&gt;='Asset Register'!D7,'Asset Register'!I7,0)</f>
        <v>550</v>
      </c>
    </row>
    <row r="8" spans="1:26" x14ac:dyDescent="0.3">
      <c r="A8" s="4">
        <v>4</v>
      </c>
      <c r="B8" s="35" t="str">
        <f>'Asset Register'!B8</f>
        <v>CNC Milling Machine</v>
      </c>
      <c r="C8" s="36">
        <f>IF(DATE(2024,4,1)&gt;='Asset Register'!D8,'Asset Register'!I8,0)</f>
        <v>17476.163276143077</v>
      </c>
      <c r="D8" s="36">
        <f>IF(DATE(2024,5,1)&gt;='Asset Register'!D8,'Asset Register'!I8,0)</f>
        <v>17476.163276143077</v>
      </c>
      <c r="E8" s="36">
        <f>IF(DATE(2024,6,1)&gt;='Asset Register'!D8,'Asset Register'!I8,0)</f>
        <v>17476.163276143077</v>
      </c>
      <c r="F8" s="36">
        <f>IF(DATE(2024,7,1)&gt;='Asset Register'!D8,'Asset Register'!I8,0)</f>
        <v>17476.163276143077</v>
      </c>
      <c r="G8" s="36">
        <f>IF(DATE(2024,8,1)&gt;='Asset Register'!D8,'Asset Register'!I8,0)</f>
        <v>17476.163276143077</v>
      </c>
      <c r="H8" s="36">
        <f>IF(DATE(2024,9,1)&gt;='Asset Register'!D8,'Asset Register'!I8,0)</f>
        <v>17476.163276143077</v>
      </c>
      <c r="I8" s="36">
        <f>IF(DATE(2024,10,1)&gt;='Asset Register'!D8,'Asset Register'!I8,0)</f>
        <v>17476.163276143077</v>
      </c>
      <c r="J8" s="36">
        <f>IF(DATE(2024,11,1)&gt;='Asset Register'!D8,'Asset Register'!I8,0)</f>
        <v>17476.163276143077</v>
      </c>
      <c r="K8" s="36">
        <f>IF(DATE(2024,12,1)&gt;='Asset Register'!D8,'Asset Register'!I8,0)</f>
        <v>17476.163276143077</v>
      </c>
      <c r="L8" s="36">
        <f>IF(DATE(2025,1,1)&gt;='Asset Register'!D8,'Asset Register'!I8,0)</f>
        <v>17476.163276143077</v>
      </c>
      <c r="M8" s="36">
        <f>IF(DATE(2025,2,1)&gt;='Asset Register'!D8,'Asset Register'!I8,0)</f>
        <v>17476.163276143077</v>
      </c>
      <c r="N8" s="36">
        <f>IF(DATE(2025,3,1)&gt;='Asset Register'!D8,'Asset Register'!I8,0)</f>
        <v>17476.163276143077</v>
      </c>
      <c r="O8" s="36">
        <f>IF(DATE(2025,4,1)&gt;='Asset Register'!D8,'Asset Register'!I8,0)</f>
        <v>17476.163276143077</v>
      </c>
      <c r="P8" s="36">
        <f>IF(DATE(2025,5,1)&gt;='Asset Register'!D8,'Asset Register'!I8,0)</f>
        <v>17476.163276143077</v>
      </c>
      <c r="Q8" s="36">
        <f>IF(DATE(2025,6,1)&gt;='Asset Register'!D8,'Asset Register'!I8,0)</f>
        <v>17476.163276143077</v>
      </c>
      <c r="R8" s="36">
        <f>IF(DATE(2025,7,1)&gt;='Asset Register'!D8,'Asset Register'!I8,0)</f>
        <v>17476.163276143077</v>
      </c>
      <c r="S8" s="36">
        <f>IF(DATE(2025,8,1)&gt;='Asset Register'!D8,'Asset Register'!I8,0)</f>
        <v>17476.163276143077</v>
      </c>
      <c r="T8" s="36">
        <f>IF(DATE(2025,9,1)&gt;='Asset Register'!D8,'Asset Register'!I8,0)</f>
        <v>17476.163276143077</v>
      </c>
      <c r="U8" s="36">
        <f>IF(DATE(2025,10,1)&gt;='Asset Register'!D8,'Asset Register'!I8,0)</f>
        <v>17476.163276143077</v>
      </c>
      <c r="V8" s="36">
        <f>IF(DATE(2025,11,1)&gt;='Asset Register'!D8,'Asset Register'!I8,0)</f>
        <v>17476.163276143077</v>
      </c>
      <c r="W8" s="36">
        <f>IF(DATE(2025,12,1)&gt;='Asset Register'!D8,'Asset Register'!I8,0)</f>
        <v>17476.163276143077</v>
      </c>
      <c r="X8" s="36">
        <f>IF(DATE(2026,1,1)&gt;='Asset Register'!D8,'Asset Register'!I8,0)</f>
        <v>17476.163276143077</v>
      </c>
      <c r="Y8" s="36">
        <f>IF(DATE(2026,2,1)&gt;='Asset Register'!D8,'Asset Register'!I8,0)</f>
        <v>17476.163276143077</v>
      </c>
      <c r="Z8" s="36">
        <f>IF(DATE(2026,3,1)&gt;='Asset Register'!D8,'Asset Register'!I8,0)</f>
        <v>17476.163276143077</v>
      </c>
    </row>
    <row r="9" spans="1:26" x14ac:dyDescent="0.3">
      <c r="A9" s="4">
        <v>5</v>
      </c>
      <c r="B9" s="33" t="str">
        <f>'Asset Register'!B9</f>
        <v>Industrial Compressor</v>
      </c>
      <c r="C9" s="34">
        <f>IF(DATE(2024,4,1)&gt;='Asset Register'!D9,'Asset Register'!I9,0)</f>
        <v>7810.485835025399</v>
      </c>
      <c r="D9" s="34">
        <f>IF(DATE(2024,5,1)&gt;='Asset Register'!D9,'Asset Register'!I9,0)</f>
        <v>7810.485835025399</v>
      </c>
      <c r="E9" s="34">
        <f>IF(DATE(2024,6,1)&gt;='Asset Register'!D9,'Asset Register'!I9,0)</f>
        <v>7810.485835025399</v>
      </c>
      <c r="F9" s="34">
        <f>IF(DATE(2024,7,1)&gt;='Asset Register'!D9,'Asset Register'!I9,0)</f>
        <v>7810.485835025399</v>
      </c>
      <c r="G9" s="34">
        <f>IF(DATE(2024,8,1)&gt;='Asset Register'!D9,'Asset Register'!I9,0)</f>
        <v>7810.485835025399</v>
      </c>
      <c r="H9" s="34">
        <f>IF(DATE(2024,9,1)&gt;='Asset Register'!D9,'Asset Register'!I9,0)</f>
        <v>7810.485835025399</v>
      </c>
      <c r="I9" s="34">
        <f>IF(DATE(2024,10,1)&gt;='Asset Register'!D9,'Asset Register'!I9,0)</f>
        <v>7810.485835025399</v>
      </c>
      <c r="J9" s="34">
        <f>IF(DATE(2024,11,1)&gt;='Asset Register'!D9,'Asset Register'!I9,0)</f>
        <v>7810.485835025399</v>
      </c>
      <c r="K9" s="34">
        <f>IF(DATE(2024,12,1)&gt;='Asset Register'!D9,'Asset Register'!I9,0)</f>
        <v>7810.485835025399</v>
      </c>
      <c r="L9" s="34">
        <f>IF(DATE(2025,1,1)&gt;='Asset Register'!D9,'Asset Register'!I9,0)</f>
        <v>7810.485835025399</v>
      </c>
      <c r="M9" s="34">
        <f>IF(DATE(2025,2,1)&gt;='Asset Register'!D9,'Asset Register'!I9,0)</f>
        <v>7810.485835025399</v>
      </c>
      <c r="N9" s="34">
        <f>IF(DATE(2025,3,1)&gt;='Asset Register'!D9,'Asset Register'!I9,0)</f>
        <v>7810.485835025399</v>
      </c>
      <c r="O9" s="34">
        <f>IF(DATE(2025,4,1)&gt;='Asset Register'!D9,'Asset Register'!I9,0)</f>
        <v>7810.485835025399</v>
      </c>
      <c r="P9" s="34">
        <f>IF(DATE(2025,5,1)&gt;='Asset Register'!D9,'Asset Register'!I9,0)</f>
        <v>7810.485835025399</v>
      </c>
      <c r="Q9" s="34">
        <f>IF(DATE(2025,6,1)&gt;='Asset Register'!D9,'Asset Register'!I9,0)</f>
        <v>7810.485835025399</v>
      </c>
      <c r="R9" s="34">
        <f>IF(DATE(2025,7,1)&gt;='Asset Register'!D9,'Asset Register'!I9,0)</f>
        <v>7810.485835025399</v>
      </c>
      <c r="S9" s="34">
        <f>IF(DATE(2025,8,1)&gt;='Asset Register'!D9,'Asset Register'!I9,0)</f>
        <v>7810.485835025399</v>
      </c>
      <c r="T9" s="34">
        <f>IF(DATE(2025,9,1)&gt;='Asset Register'!D9,'Asset Register'!I9,0)</f>
        <v>7810.485835025399</v>
      </c>
      <c r="U9" s="34">
        <f>IF(DATE(2025,10,1)&gt;='Asset Register'!D9,'Asset Register'!I9,0)</f>
        <v>7810.485835025399</v>
      </c>
      <c r="V9" s="34">
        <f>IF(DATE(2025,11,1)&gt;='Asset Register'!D9,'Asset Register'!I9,0)</f>
        <v>7810.485835025399</v>
      </c>
      <c r="W9" s="34">
        <f>IF(DATE(2025,12,1)&gt;='Asset Register'!D9,'Asset Register'!I9,0)</f>
        <v>7810.485835025399</v>
      </c>
      <c r="X9" s="34">
        <f>IF(DATE(2026,1,1)&gt;='Asset Register'!D9,'Asset Register'!I9,0)</f>
        <v>7810.485835025399</v>
      </c>
      <c r="Y9" s="34">
        <f>IF(DATE(2026,2,1)&gt;='Asset Register'!D9,'Asset Register'!I9,0)</f>
        <v>7810.485835025399</v>
      </c>
      <c r="Z9" s="34">
        <f>IF(DATE(2026,3,1)&gt;='Asset Register'!D9,'Asset Register'!I9,0)</f>
        <v>7810.485835025399</v>
      </c>
    </row>
    <row r="10" spans="1:26" x14ac:dyDescent="0.3">
      <c r="A10" s="4">
        <v>6</v>
      </c>
      <c r="B10" s="35" t="str">
        <f>'Asset Register'!B10</f>
        <v>Hydraulic Press – Model HX200</v>
      </c>
      <c r="C10" s="36">
        <f>IF(DATE(2024,4,1)&gt;='Asset Register'!D10,'Asset Register'!I10,0)</f>
        <v>11840.94668478448</v>
      </c>
      <c r="D10" s="36">
        <f>IF(DATE(2024,5,1)&gt;='Asset Register'!D10,'Asset Register'!I10,0)</f>
        <v>11840.94668478448</v>
      </c>
      <c r="E10" s="36">
        <f>IF(DATE(2024,6,1)&gt;='Asset Register'!D10,'Asset Register'!I10,0)</f>
        <v>11840.94668478448</v>
      </c>
      <c r="F10" s="36">
        <f>IF(DATE(2024,7,1)&gt;='Asset Register'!D10,'Asset Register'!I10,0)</f>
        <v>11840.94668478448</v>
      </c>
      <c r="G10" s="36">
        <f>IF(DATE(2024,8,1)&gt;='Asset Register'!D10,'Asset Register'!I10,0)</f>
        <v>11840.94668478448</v>
      </c>
      <c r="H10" s="36">
        <f>IF(DATE(2024,9,1)&gt;='Asset Register'!D10,'Asset Register'!I10,0)</f>
        <v>11840.94668478448</v>
      </c>
      <c r="I10" s="36">
        <f>IF(DATE(2024,10,1)&gt;='Asset Register'!D10,'Asset Register'!I10,0)</f>
        <v>11840.94668478448</v>
      </c>
      <c r="J10" s="36">
        <f>IF(DATE(2024,11,1)&gt;='Asset Register'!D10,'Asset Register'!I10,0)</f>
        <v>11840.94668478448</v>
      </c>
      <c r="K10" s="36">
        <f>IF(DATE(2024,12,1)&gt;='Asset Register'!D10,'Asset Register'!I10,0)</f>
        <v>11840.94668478448</v>
      </c>
      <c r="L10" s="36">
        <f>IF(DATE(2025,1,1)&gt;='Asset Register'!D10,'Asset Register'!I10,0)</f>
        <v>11840.94668478448</v>
      </c>
      <c r="M10" s="36">
        <f>IF(DATE(2025,2,1)&gt;='Asset Register'!D10,'Asset Register'!I10,0)</f>
        <v>11840.94668478448</v>
      </c>
      <c r="N10" s="36">
        <f>IF(DATE(2025,3,1)&gt;='Asset Register'!D10,'Asset Register'!I10,0)</f>
        <v>11840.94668478448</v>
      </c>
      <c r="O10" s="36">
        <f>IF(DATE(2025,4,1)&gt;='Asset Register'!D10,'Asset Register'!I10,0)</f>
        <v>11840.94668478448</v>
      </c>
      <c r="P10" s="36">
        <f>IF(DATE(2025,5,1)&gt;='Asset Register'!D10,'Asset Register'!I10,0)</f>
        <v>11840.94668478448</v>
      </c>
      <c r="Q10" s="36">
        <f>IF(DATE(2025,6,1)&gt;='Asset Register'!D10,'Asset Register'!I10,0)</f>
        <v>11840.94668478448</v>
      </c>
      <c r="R10" s="36">
        <f>IF(DATE(2025,7,1)&gt;='Asset Register'!D10,'Asset Register'!I10,0)</f>
        <v>11840.94668478448</v>
      </c>
      <c r="S10" s="36">
        <f>IF(DATE(2025,8,1)&gt;='Asset Register'!D10,'Asset Register'!I10,0)</f>
        <v>11840.94668478448</v>
      </c>
      <c r="T10" s="36">
        <f>IF(DATE(2025,9,1)&gt;='Asset Register'!D10,'Asset Register'!I10,0)</f>
        <v>11840.94668478448</v>
      </c>
      <c r="U10" s="36">
        <f>IF(DATE(2025,10,1)&gt;='Asset Register'!D10,'Asset Register'!I10,0)</f>
        <v>11840.94668478448</v>
      </c>
      <c r="V10" s="36">
        <f>IF(DATE(2025,11,1)&gt;='Asset Register'!D10,'Asset Register'!I10,0)</f>
        <v>11840.94668478448</v>
      </c>
      <c r="W10" s="36">
        <f>IF(DATE(2025,12,1)&gt;='Asset Register'!D10,'Asset Register'!I10,0)</f>
        <v>11840.94668478448</v>
      </c>
      <c r="X10" s="36">
        <f>IF(DATE(2026,1,1)&gt;='Asset Register'!D10,'Asset Register'!I10,0)</f>
        <v>11840.94668478448</v>
      </c>
      <c r="Y10" s="36">
        <f>IF(DATE(2026,2,1)&gt;='Asset Register'!D10,'Asset Register'!I10,0)</f>
        <v>11840.94668478448</v>
      </c>
      <c r="Z10" s="36">
        <f>IF(DATE(2026,3,1)&gt;='Asset Register'!D10,'Asset Register'!I10,0)</f>
        <v>11840.94668478448</v>
      </c>
    </row>
    <row r="11" spans="1:26" x14ac:dyDescent="0.3">
      <c r="A11" s="4">
        <v>7</v>
      </c>
      <c r="B11" s="33" t="str">
        <f>'Asset Register'!B11</f>
        <v>Office Workstation Set (6 pcs)</v>
      </c>
      <c r="C11" s="34">
        <f>IF(DATE(2024,4,1)&gt;='Asset Register'!D11,'Asset Register'!I11,0)</f>
        <v>1116.6666666666667</v>
      </c>
      <c r="D11" s="34">
        <f>IF(DATE(2024,5,1)&gt;='Asset Register'!D11,'Asset Register'!I11,0)</f>
        <v>1116.6666666666667</v>
      </c>
      <c r="E11" s="34">
        <f>IF(DATE(2024,6,1)&gt;='Asset Register'!D11,'Asset Register'!I11,0)</f>
        <v>1116.6666666666667</v>
      </c>
      <c r="F11" s="34">
        <f>IF(DATE(2024,7,1)&gt;='Asset Register'!D11,'Asset Register'!I11,0)</f>
        <v>1116.6666666666667</v>
      </c>
      <c r="G11" s="34">
        <f>IF(DATE(2024,8,1)&gt;='Asset Register'!D11,'Asset Register'!I11,0)</f>
        <v>1116.6666666666667</v>
      </c>
      <c r="H11" s="34">
        <f>IF(DATE(2024,9,1)&gt;='Asset Register'!D11,'Asset Register'!I11,0)</f>
        <v>1116.6666666666667</v>
      </c>
      <c r="I11" s="34">
        <f>IF(DATE(2024,10,1)&gt;='Asset Register'!D11,'Asset Register'!I11,0)</f>
        <v>1116.6666666666667</v>
      </c>
      <c r="J11" s="34">
        <f>IF(DATE(2024,11,1)&gt;='Asset Register'!D11,'Asset Register'!I11,0)</f>
        <v>1116.6666666666667</v>
      </c>
      <c r="K11" s="34">
        <f>IF(DATE(2024,12,1)&gt;='Asset Register'!D11,'Asset Register'!I11,0)</f>
        <v>1116.6666666666667</v>
      </c>
      <c r="L11" s="34">
        <f>IF(DATE(2025,1,1)&gt;='Asset Register'!D11,'Asset Register'!I11,0)</f>
        <v>1116.6666666666667</v>
      </c>
      <c r="M11" s="34">
        <f>IF(DATE(2025,2,1)&gt;='Asset Register'!D11,'Asset Register'!I11,0)</f>
        <v>1116.6666666666667</v>
      </c>
      <c r="N11" s="34">
        <f>IF(DATE(2025,3,1)&gt;='Asset Register'!D11,'Asset Register'!I11,0)</f>
        <v>1116.6666666666667</v>
      </c>
      <c r="O11" s="34">
        <f>IF(DATE(2025,4,1)&gt;='Asset Register'!D11,'Asset Register'!I11,0)</f>
        <v>1116.6666666666667</v>
      </c>
      <c r="P11" s="34">
        <f>IF(DATE(2025,5,1)&gt;='Asset Register'!D11,'Asset Register'!I11,0)</f>
        <v>1116.6666666666667</v>
      </c>
      <c r="Q11" s="34">
        <f>IF(DATE(2025,6,1)&gt;='Asset Register'!D11,'Asset Register'!I11,0)</f>
        <v>1116.6666666666667</v>
      </c>
      <c r="R11" s="34">
        <f>IF(DATE(2025,7,1)&gt;='Asset Register'!D11,'Asset Register'!I11,0)</f>
        <v>1116.6666666666667</v>
      </c>
      <c r="S11" s="34">
        <f>IF(DATE(2025,8,1)&gt;='Asset Register'!D11,'Asset Register'!I11,0)</f>
        <v>1116.6666666666667</v>
      </c>
      <c r="T11" s="34">
        <f>IF(DATE(2025,9,1)&gt;='Asset Register'!D11,'Asset Register'!I11,0)</f>
        <v>1116.6666666666667</v>
      </c>
      <c r="U11" s="34">
        <f>IF(DATE(2025,10,1)&gt;='Asset Register'!D11,'Asset Register'!I11,0)</f>
        <v>1116.6666666666667</v>
      </c>
      <c r="V11" s="34">
        <f>IF(DATE(2025,11,1)&gt;='Asset Register'!D11,'Asset Register'!I11,0)</f>
        <v>1116.6666666666667</v>
      </c>
      <c r="W11" s="34">
        <f>IF(DATE(2025,12,1)&gt;='Asset Register'!D11,'Asset Register'!I11,0)</f>
        <v>1116.6666666666667</v>
      </c>
      <c r="X11" s="34">
        <f>IF(DATE(2026,1,1)&gt;='Asset Register'!D11,'Asset Register'!I11,0)</f>
        <v>1116.6666666666667</v>
      </c>
      <c r="Y11" s="34">
        <f>IF(DATE(2026,2,1)&gt;='Asset Register'!D11,'Asset Register'!I11,0)</f>
        <v>1116.6666666666667</v>
      </c>
      <c r="Z11" s="34">
        <f>IF(DATE(2026,3,1)&gt;='Asset Register'!D11,'Asset Register'!I11,0)</f>
        <v>1116.6666666666667</v>
      </c>
    </row>
    <row r="12" spans="1:26" x14ac:dyDescent="0.3">
      <c r="A12" s="4">
        <v>8</v>
      </c>
      <c r="B12" s="35" t="str">
        <f>'Asset Register'!B12</f>
        <v>Executive Board Room Table</v>
      </c>
      <c r="C12" s="36">
        <f>IF(DATE(2024,4,1)&gt;='Asset Register'!D12,'Asset Register'!I12,0)</f>
        <v>906.25</v>
      </c>
      <c r="D12" s="36">
        <f>IF(DATE(2024,5,1)&gt;='Asset Register'!D12,'Asset Register'!I12,0)</f>
        <v>906.25</v>
      </c>
      <c r="E12" s="36">
        <f>IF(DATE(2024,6,1)&gt;='Asset Register'!D12,'Asset Register'!I12,0)</f>
        <v>906.25</v>
      </c>
      <c r="F12" s="36">
        <f>IF(DATE(2024,7,1)&gt;='Asset Register'!D12,'Asset Register'!I12,0)</f>
        <v>906.25</v>
      </c>
      <c r="G12" s="36">
        <f>IF(DATE(2024,8,1)&gt;='Asset Register'!D12,'Asset Register'!I12,0)</f>
        <v>906.25</v>
      </c>
      <c r="H12" s="36">
        <f>IF(DATE(2024,9,1)&gt;='Asset Register'!D12,'Asset Register'!I12,0)</f>
        <v>906.25</v>
      </c>
      <c r="I12" s="36">
        <f>IF(DATE(2024,10,1)&gt;='Asset Register'!D12,'Asset Register'!I12,0)</f>
        <v>906.25</v>
      </c>
      <c r="J12" s="36">
        <f>IF(DATE(2024,11,1)&gt;='Asset Register'!D12,'Asset Register'!I12,0)</f>
        <v>906.25</v>
      </c>
      <c r="K12" s="36">
        <f>IF(DATE(2024,12,1)&gt;='Asset Register'!D12,'Asset Register'!I12,0)</f>
        <v>906.25</v>
      </c>
      <c r="L12" s="36">
        <f>IF(DATE(2025,1,1)&gt;='Asset Register'!D12,'Asset Register'!I12,0)</f>
        <v>906.25</v>
      </c>
      <c r="M12" s="36">
        <f>IF(DATE(2025,2,1)&gt;='Asset Register'!D12,'Asset Register'!I12,0)</f>
        <v>906.25</v>
      </c>
      <c r="N12" s="36">
        <f>IF(DATE(2025,3,1)&gt;='Asset Register'!D12,'Asset Register'!I12,0)</f>
        <v>906.25</v>
      </c>
      <c r="O12" s="36">
        <f>IF(DATE(2025,4,1)&gt;='Asset Register'!D12,'Asset Register'!I12,0)</f>
        <v>906.25</v>
      </c>
      <c r="P12" s="36">
        <f>IF(DATE(2025,5,1)&gt;='Asset Register'!D12,'Asset Register'!I12,0)</f>
        <v>906.25</v>
      </c>
      <c r="Q12" s="36">
        <f>IF(DATE(2025,6,1)&gt;='Asset Register'!D12,'Asset Register'!I12,0)</f>
        <v>906.25</v>
      </c>
      <c r="R12" s="36">
        <f>IF(DATE(2025,7,1)&gt;='Asset Register'!D12,'Asset Register'!I12,0)</f>
        <v>906.25</v>
      </c>
      <c r="S12" s="36">
        <f>IF(DATE(2025,8,1)&gt;='Asset Register'!D12,'Asset Register'!I12,0)</f>
        <v>906.25</v>
      </c>
      <c r="T12" s="36">
        <f>IF(DATE(2025,9,1)&gt;='Asset Register'!D12,'Asset Register'!I12,0)</f>
        <v>906.25</v>
      </c>
      <c r="U12" s="36">
        <f>IF(DATE(2025,10,1)&gt;='Asset Register'!D12,'Asset Register'!I12,0)</f>
        <v>906.25</v>
      </c>
      <c r="V12" s="36">
        <f>IF(DATE(2025,11,1)&gt;='Asset Register'!D12,'Asset Register'!I12,0)</f>
        <v>906.25</v>
      </c>
      <c r="W12" s="36">
        <f>IF(DATE(2025,12,1)&gt;='Asset Register'!D12,'Asset Register'!I12,0)</f>
        <v>906.25</v>
      </c>
      <c r="X12" s="36">
        <f>IF(DATE(2026,1,1)&gt;='Asset Register'!D12,'Asset Register'!I12,0)</f>
        <v>906.25</v>
      </c>
      <c r="Y12" s="36">
        <f>IF(DATE(2026,2,1)&gt;='Asset Register'!D12,'Asset Register'!I12,0)</f>
        <v>906.25</v>
      </c>
      <c r="Z12" s="36">
        <f>IF(DATE(2026,3,1)&gt;='Asset Register'!D12,'Asset Register'!I12,0)</f>
        <v>906.25</v>
      </c>
    </row>
    <row r="13" spans="1:26" x14ac:dyDescent="0.3">
      <c r="A13" s="4">
        <v>9</v>
      </c>
      <c r="B13" s="33" t="str">
        <f>'Asset Register'!B13</f>
        <v>Steel Storage Shelving</v>
      </c>
      <c r="C13" s="34">
        <f>IF(DATE(2024,4,1)&gt;='Asset Register'!D13,'Asset Register'!I13,0)</f>
        <v>450</v>
      </c>
      <c r="D13" s="34">
        <f>IF(DATE(2024,5,1)&gt;='Asset Register'!D13,'Asset Register'!I13,0)</f>
        <v>450</v>
      </c>
      <c r="E13" s="34">
        <f>IF(DATE(2024,6,1)&gt;='Asset Register'!D13,'Asset Register'!I13,0)</f>
        <v>450</v>
      </c>
      <c r="F13" s="34">
        <f>IF(DATE(2024,7,1)&gt;='Asset Register'!D13,'Asset Register'!I13,0)</f>
        <v>450</v>
      </c>
      <c r="G13" s="34">
        <f>IF(DATE(2024,8,1)&gt;='Asset Register'!D13,'Asset Register'!I13,0)</f>
        <v>450</v>
      </c>
      <c r="H13" s="34">
        <f>IF(DATE(2024,9,1)&gt;='Asset Register'!D13,'Asset Register'!I13,0)</f>
        <v>450</v>
      </c>
      <c r="I13" s="34">
        <f>IF(DATE(2024,10,1)&gt;='Asset Register'!D13,'Asset Register'!I13,0)</f>
        <v>450</v>
      </c>
      <c r="J13" s="34">
        <f>IF(DATE(2024,11,1)&gt;='Asset Register'!D13,'Asset Register'!I13,0)</f>
        <v>450</v>
      </c>
      <c r="K13" s="34">
        <f>IF(DATE(2024,12,1)&gt;='Asset Register'!D13,'Asset Register'!I13,0)</f>
        <v>450</v>
      </c>
      <c r="L13" s="34">
        <f>IF(DATE(2025,1,1)&gt;='Asset Register'!D13,'Asset Register'!I13,0)</f>
        <v>450</v>
      </c>
      <c r="M13" s="34">
        <f>IF(DATE(2025,2,1)&gt;='Asset Register'!D13,'Asset Register'!I13,0)</f>
        <v>450</v>
      </c>
      <c r="N13" s="34">
        <f>IF(DATE(2025,3,1)&gt;='Asset Register'!D13,'Asset Register'!I13,0)</f>
        <v>450</v>
      </c>
      <c r="O13" s="34">
        <f>IF(DATE(2025,4,1)&gt;='Asset Register'!D13,'Asset Register'!I13,0)</f>
        <v>450</v>
      </c>
      <c r="P13" s="34">
        <f>IF(DATE(2025,5,1)&gt;='Asset Register'!D13,'Asset Register'!I13,0)</f>
        <v>450</v>
      </c>
      <c r="Q13" s="34">
        <f>IF(DATE(2025,6,1)&gt;='Asset Register'!D13,'Asset Register'!I13,0)</f>
        <v>450</v>
      </c>
      <c r="R13" s="34">
        <f>IF(DATE(2025,7,1)&gt;='Asset Register'!D13,'Asset Register'!I13,0)</f>
        <v>450</v>
      </c>
      <c r="S13" s="34">
        <f>IF(DATE(2025,8,1)&gt;='Asset Register'!D13,'Asset Register'!I13,0)</f>
        <v>450</v>
      </c>
      <c r="T13" s="34">
        <f>IF(DATE(2025,9,1)&gt;='Asset Register'!D13,'Asset Register'!I13,0)</f>
        <v>450</v>
      </c>
      <c r="U13" s="34">
        <f>IF(DATE(2025,10,1)&gt;='Asset Register'!D13,'Asset Register'!I13,0)</f>
        <v>450</v>
      </c>
      <c r="V13" s="34">
        <f>IF(DATE(2025,11,1)&gt;='Asset Register'!D13,'Asset Register'!I13,0)</f>
        <v>450</v>
      </c>
      <c r="W13" s="34">
        <f>IF(DATE(2025,12,1)&gt;='Asset Register'!D13,'Asset Register'!I13,0)</f>
        <v>450</v>
      </c>
      <c r="X13" s="34">
        <f>IF(DATE(2026,1,1)&gt;='Asset Register'!D13,'Asset Register'!I13,0)</f>
        <v>450</v>
      </c>
      <c r="Y13" s="34">
        <f>IF(DATE(2026,2,1)&gt;='Asset Register'!D13,'Asset Register'!I13,0)</f>
        <v>450</v>
      </c>
      <c r="Z13" s="34">
        <f>IF(DATE(2026,3,1)&gt;='Asset Register'!D13,'Asset Register'!I13,0)</f>
        <v>450</v>
      </c>
    </row>
    <row r="14" spans="1:26" x14ac:dyDescent="0.3">
      <c r="A14" s="4">
        <v>10</v>
      </c>
      <c r="B14" s="35" t="str">
        <f>'Asset Register'!B14</f>
        <v>Air Conditioning Unit (3 Tr)</v>
      </c>
      <c r="C14" s="36">
        <f>IF(DATE(2024,4,1)&gt;='Asset Register'!D14,'Asset Register'!I14,0)</f>
        <v>875</v>
      </c>
      <c r="D14" s="36">
        <f>IF(DATE(2024,5,1)&gt;='Asset Register'!D14,'Asset Register'!I14,0)</f>
        <v>875</v>
      </c>
      <c r="E14" s="36">
        <f>IF(DATE(2024,6,1)&gt;='Asset Register'!D14,'Asset Register'!I14,0)</f>
        <v>875</v>
      </c>
      <c r="F14" s="36">
        <f>IF(DATE(2024,7,1)&gt;='Asset Register'!D14,'Asset Register'!I14,0)</f>
        <v>875</v>
      </c>
      <c r="G14" s="36">
        <f>IF(DATE(2024,8,1)&gt;='Asset Register'!D14,'Asset Register'!I14,0)</f>
        <v>875</v>
      </c>
      <c r="H14" s="36">
        <f>IF(DATE(2024,9,1)&gt;='Asset Register'!D14,'Asset Register'!I14,0)</f>
        <v>875</v>
      </c>
      <c r="I14" s="36">
        <f>IF(DATE(2024,10,1)&gt;='Asset Register'!D14,'Asset Register'!I14,0)</f>
        <v>875</v>
      </c>
      <c r="J14" s="36">
        <f>IF(DATE(2024,11,1)&gt;='Asset Register'!D14,'Asset Register'!I14,0)</f>
        <v>875</v>
      </c>
      <c r="K14" s="36">
        <f>IF(DATE(2024,12,1)&gt;='Asset Register'!D14,'Asset Register'!I14,0)</f>
        <v>875</v>
      </c>
      <c r="L14" s="36">
        <f>IF(DATE(2025,1,1)&gt;='Asset Register'!D14,'Asset Register'!I14,0)</f>
        <v>875</v>
      </c>
      <c r="M14" s="36">
        <f>IF(DATE(2025,2,1)&gt;='Asset Register'!D14,'Asset Register'!I14,0)</f>
        <v>875</v>
      </c>
      <c r="N14" s="36">
        <f>IF(DATE(2025,3,1)&gt;='Asset Register'!D14,'Asset Register'!I14,0)</f>
        <v>875</v>
      </c>
      <c r="O14" s="36">
        <f>IF(DATE(2025,4,1)&gt;='Asset Register'!D14,'Asset Register'!I14,0)</f>
        <v>875</v>
      </c>
      <c r="P14" s="36">
        <f>IF(DATE(2025,5,1)&gt;='Asset Register'!D14,'Asset Register'!I14,0)</f>
        <v>875</v>
      </c>
      <c r="Q14" s="36">
        <f>IF(DATE(2025,6,1)&gt;='Asset Register'!D14,'Asset Register'!I14,0)</f>
        <v>875</v>
      </c>
      <c r="R14" s="36">
        <f>IF(DATE(2025,7,1)&gt;='Asset Register'!D14,'Asset Register'!I14,0)</f>
        <v>875</v>
      </c>
      <c r="S14" s="36">
        <f>IF(DATE(2025,8,1)&gt;='Asset Register'!D14,'Asset Register'!I14,0)</f>
        <v>875</v>
      </c>
      <c r="T14" s="36">
        <f>IF(DATE(2025,9,1)&gt;='Asset Register'!D14,'Asset Register'!I14,0)</f>
        <v>875</v>
      </c>
      <c r="U14" s="36">
        <f>IF(DATE(2025,10,1)&gt;='Asset Register'!D14,'Asset Register'!I14,0)</f>
        <v>875</v>
      </c>
      <c r="V14" s="36">
        <f>IF(DATE(2025,11,1)&gt;='Asset Register'!D14,'Asset Register'!I14,0)</f>
        <v>875</v>
      </c>
      <c r="W14" s="36">
        <f>IF(DATE(2025,12,1)&gt;='Asset Register'!D14,'Asset Register'!I14,0)</f>
        <v>875</v>
      </c>
      <c r="X14" s="36">
        <f>IF(DATE(2026,1,1)&gt;='Asset Register'!D14,'Asset Register'!I14,0)</f>
        <v>875</v>
      </c>
      <c r="Y14" s="36">
        <f>IF(DATE(2026,2,1)&gt;='Asset Register'!D14,'Asset Register'!I14,0)</f>
        <v>875</v>
      </c>
      <c r="Z14" s="36">
        <f>IF(DATE(2026,3,1)&gt;='Asset Register'!D14,'Asset Register'!I14,0)</f>
        <v>875</v>
      </c>
    </row>
    <row r="15" spans="1:26" x14ac:dyDescent="0.3">
      <c r="A15" s="4">
        <v>11</v>
      </c>
      <c r="B15" s="33" t="str">
        <f>'Asset Register'!B15</f>
        <v>CCTV Surveillance System</v>
      </c>
      <c r="C15" s="34">
        <f>IF(DATE(2024,4,1)&gt;='Asset Register'!D15,'Asset Register'!I15,0)</f>
        <v>1083.3333333333333</v>
      </c>
      <c r="D15" s="34">
        <f>IF(DATE(2024,5,1)&gt;='Asset Register'!D15,'Asset Register'!I15,0)</f>
        <v>1083.3333333333333</v>
      </c>
      <c r="E15" s="34">
        <f>IF(DATE(2024,6,1)&gt;='Asset Register'!D15,'Asset Register'!I15,0)</f>
        <v>1083.3333333333333</v>
      </c>
      <c r="F15" s="34">
        <f>IF(DATE(2024,7,1)&gt;='Asset Register'!D15,'Asset Register'!I15,0)</f>
        <v>1083.3333333333333</v>
      </c>
      <c r="G15" s="34">
        <f>IF(DATE(2024,8,1)&gt;='Asset Register'!D15,'Asset Register'!I15,0)</f>
        <v>1083.3333333333333</v>
      </c>
      <c r="H15" s="34">
        <f>IF(DATE(2024,9,1)&gt;='Asset Register'!D15,'Asset Register'!I15,0)</f>
        <v>1083.3333333333333</v>
      </c>
      <c r="I15" s="34">
        <f>IF(DATE(2024,10,1)&gt;='Asset Register'!D15,'Asset Register'!I15,0)</f>
        <v>1083.3333333333333</v>
      </c>
      <c r="J15" s="34">
        <f>IF(DATE(2024,11,1)&gt;='Asset Register'!D15,'Asset Register'!I15,0)</f>
        <v>1083.3333333333333</v>
      </c>
      <c r="K15" s="34">
        <f>IF(DATE(2024,12,1)&gt;='Asset Register'!D15,'Asset Register'!I15,0)</f>
        <v>1083.3333333333333</v>
      </c>
      <c r="L15" s="34">
        <f>IF(DATE(2025,1,1)&gt;='Asset Register'!D15,'Asset Register'!I15,0)</f>
        <v>1083.3333333333333</v>
      </c>
      <c r="M15" s="34">
        <f>IF(DATE(2025,2,1)&gt;='Asset Register'!D15,'Asset Register'!I15,0)</f>
        <v>1083.3333333333333</v>
      </c>
      <c r="N15" s="34">
        <f>IF(DATE(2025,3,1)&gt;='Asset Register'!D15,'Asset Register'!I15,0)</f>
        <v>1083.3333333333333</v>
      </c>
      <c r="O15" s="34">
        <f>IF(DATE(2025,4,1)&gt;='Asset Register'!D15,'Asset Register'!I15,0)</f>
        <v>1083.3333333333333</v>
      </c>
      <c r="P15" s="34">
        <f>IF(DATE(2025,5,1)&gt;='Asset Register'!D15,'Asset Register'!I15,0)</f>
        <v>1083.3333333333333</v>
      </c>
      <c r="Q15" s="34">
        <f>IF(DATE(2025,6,1)&gt;='Asset Register'!D15,'Asset Register'!I15,0)</f>
        <v>1083.3333333333333</v>
      </c>
      <c r="R15" s="34">
        <f>IF(DATE(2025,7,1)&gt;='Asset Register'!D15,'Asset Register'!I15,0)</f>
        <v>1083.3333333333333</v>
      </c>
      <c r="S15" s="34">
        <f>IF(DATE(2025,8,1)&gt;='Asset Register'!D15,'Asset Register'!I15,0)</f>
        <v>1083.3333333333333</v>
      </c>
      <c r="T15" s="34">
        <f>IF(DATE(2025,9,1)&gt;='Asset Register'!D15,'Asset Register'!I15,0)</f>
        <v>1083.3333333333333</v>
      </c>
      <c r="U15" s="34">
        <f>IF(DATE(2025,10,1)&gt;='Asset Register'!D15,'Asset Register'!I15,0)</f>
        <v>1083.3333333333333</v>
      </c>
      <c r="V15" s="34">
        <f>IF(DATE(2025,11,1)&gt;='Asset Register'!D15,'Asset Register'!I15,0)</f>
        <v>1083.3333333333333</v>
      </c>
      <c r="W15" s="34">
        <f>IF(DATE(2025,12,1)&gt;='Asset Register'!D15,'Asset Register'!I15,0)</f>
        <v>1083.3333333333333</v>
      </c>
      <c r="X15" s="34">
        <f>IF(DATE(2026,1,1)&gt;='Asset Register'!D15,'Asset Register'!I15,0)</f>
        <v>1083.3333333333333</v>
      </c>
      <c r="Y15" s="34">
        <f>IF(DATE(2026,2,1)&gt;='Asset Register'!D15,'Asset Register'!I15,0)</f>
        <v>1083.3333333333333</v>
      </c>
      <c r="Z15" s="34">
        <f>IF(DATE(2026,3,1)&gt;='Asset Register'!D15,'Asset Register'!I15,0)</f>
        <v>1083.3333333333333</v>
      </c>
    </row>
    <row r="16" spans="1:26" x14ac:dyDescent="0.3">
      <c r="A16" s="4">
        <v>12</v>
      </c>
      <c r="B16" s="35" t="str">
        <f>'Asset Register'!B16</f>
        <v>Electric Forklift – Model EF3</v>
      </c>
      <c r="C16" s="36">
        <f>IF(DATE(2024,4,1)&gt;='Asset Register'!D16,'Asset Register'!I16,0)</f>
        <v>10562.364794472629</v>
      </c>
      <c r="D16" s="36">
        <f>IF(DATE(2024,5,1)&gt;='Asset Register'!D16,'Asset Register'!I16,0)</f>
        <v>10562.364794472629</v>
      </c>
      <c r="E16" s="36">
        <f>IF(DATE(2024,6,1)&gt;='Asset Register'!D16,'Asset Register'!I16,0)</f>
        <v>10562.364794472629</v>
      </c>
      <c r="F16" s="36">
        <f>IF(DATE(2024,7,1)&gt;='Asset Register'!D16,'Asset Register'!I16,0)</f>
        <v>10562.364794472629</v>
      </c>
      <c r="G16" s="36">
        <f>IF(DATE(2024,8,1)&gt;='Asset Register'!D16,'Asset Register'!I16,0)</f>
        <v>10562.364794472629</v>
      </c>
      <c r="H16" s="36">
        <f>IF(DATE(2024,9,1)&gt;='Asset Register'!D16,'Asset Register'!I16,0)</f>
        <v>10562.364794472629</v>
      </c>
      <c r="I16" s="36">
        <f>IF(DATE(2024,10,1)&gt;='Asset Register'!D16,'Asset Register'!I16,0)</f>
        <v>10562.364794472629</v>
      </c>
      <c r="J16" s="36">
        <f>IF(DATE(2024,11,1)&gt;='Asset Register'!D16,'Asset Register'!I16,0)</f>
        <v>10562.364794472629</v>
      </c>
      <c r="K16" s="36">
        <f>IF(DATE(2024,12,1)&gt;='Asset Register'!D16,'Asset Register'!I16,0)</f>
        <v>10562.364794472629</v>
      </c>
      <c r="L16" s="36">
        <f>IF(DATE(2025,1,1)&gt;='Asset Register'!D16,'Asset Register'!I16,0)</f>
        <v>10562.364794472629</v>
      </c>
      <c r="M16" s="36">
        <f>IF(DATE(2025,2,1)&gt;='Asset Register'!D16,'Asset Register'!I16,0)</f>
        <v>10562.364794472629</v>
      </c>
      <c r="N16" s="36">
        <f>IF(DATE(2025,3,1)&gt;='Asset Register'!D16,'Asset Register'!I16,0)</f>
        <v>10562.364794472629</v>
      </c>
      <c r="O16" s="36">
        <f>IF(DATE(2025,4,1)&gt;='Asset Register'!D16,'Asset Register'!I16,0)</f>
        <v>10562.364794472629</v>
      </c>
      <c r="P16" s="36">
        <f>IF(DATE(2025,5,1)&gt;='Asset Register'!D16,'Asset Register'!I16,0)</f>
        <v>10562.364794472629</v>
      </c>
      <c r="Q16" s="36">
        <f>IF(DATE(2025,6,1)&gt;='Asset Register'!D16,'Asset Register'!I16,0)</f>
        <v>10562.364794472629</v>
      </c>
      <c r="R16" s="36">
        <f>IF(DATE(2025,7,1)&gt;='Asset Register'!D16,'Asset Register'!I16,0)</f>
        <v>10562.364794472629</v>
      </c>
      <c r="S16" s="36">
        <f>IF(DATE(2025,8,1)&gt;='Asset Register'!D16,'Asset Register'!I16,0)</f>
        <v>10562.364794472629</v>
      </c>
      <c r="T16" s="36">
        <f>IF(DATE(2025,9,1)&gt;='Asset Register'!D16,'Asset Register'!I16,0)</f>
        <v>10562.364794472629</v>
      </c>
      <c r="U16" s="36">
        <f>IF(DATE(2025,10,1)&gt;='Asset Register'!D16,'Asset Register'!I16,0)</f>
        <v>10562.364794472629</v>
      </c>
      <c r="V16" s="36">
        <f>IF(DATE(2025,11,1)&gt;='Asset Register'!D16,'Asset Register'!I16,0)</f>
        <v>10562.364794472629</v>
      </c>
      <c r="W16" s="36">
        <f>IF(DATE(2025,12,1)&gt;='Asset Register'!D16,'Asset Register'!I16,0)</f>
        <v>10562.364794472629</v>
      </c>
      <c r="X16" s="36">
        <f>IF(DATE(2026,1,1)&gt;='Asset Register'!D16,'Asset Register'!I16,0)</f>
        <v>10562.364794472629</v>
      </c>
      <c r="Y16" s="36">
        <f>IF(DATE(2026,2,1)&gt;='Asset Register'!D16,'Asset Register'!I16,0)</f>
        <v>10562.364794472629</v>
      </c>
      <c r="Z16" s="36">
        <f>IF(DATE(2026,3,1)&gt;='Asset Register'!D16,'Asset Register'!I16,0)</f>
        <v>10562.364794472629</v>
      </c>
    </row>
    <row r="17" spans="1:26" x14ac:dyDescent="0.3">
      <c r="A17" s="24"/>
      <c r="B17" s="37" t="s">
        <v>79</v>
      </c>
      <c r="C17" s="25">
        <f t="shared" ref="C17:Z17" si="0">SUM(C5:C16)</f>
        <v>54587.877257092259</v>
      </c>
      <c r="D17" s="25">
        <f t="shared" si="0"/>
        <v>54587.877257092259</v>
      </c>
      <c r="E17" s="25">
        <f t="shared" si="0"/>
        <v>54587.877257092259</v>
      </c>
      <c r="F17" s="25">
        <f t="shared" si="0"/>
        <v>54587.877257092259</v>
      </c>
      <c r="G17" s="25">
        <f t="shared" si="0"/>
        <v>54587.877257092259</v>
      </c>
      <c r="H17" s="25">
        <f t="shared" si="0"/>
        <v>54587.877257092259</v>
      </c>
      <c r="I17" s="25">
        <f t="shared" si="0"/>
        <v>54587.877257092259</v>
      </c>
      <c r="J17" s="25">
        <f t="shared" si="0"/>
        <v>54587.877257092259</v>
      </c>
      <c r="K17" s="25">
        <f t="shared" si="0"/>
        <v>54587.877257092259</v>
      </c>
      <c r="L17" s="25">
        <f t="shared" si="0"/>
        <v>54587.877257092259</v>
      </c>
      <c r="M17" s="25">
        <f t="shared" si="0"/>
        <v>54587.877257092259</v>
      </c>
      <c r="N17" s="25">
        <f t="shared" si="0"/>
        <v>54587.877257092259</v>
      </c>
      <c r="O17" s="25">
        <f t="shared" si="0"/>
        <v>54587.877257092259</v>
      </c>
      <c r="P17" s="25">
        <f t="shared" si="0"/>
        <v>54587.877257092259</v>
      </c>
      <c r="Q17" s="25">
        <f t="shared" si="0"/>
        <v>54587.877257092259</v>
      </c>
      <c r="R17" s="25">
        <f t="shared" si="0"/>
        <v>54587.877257092259</v>
      </c>
      <c r="S17" s="25">
        <f t="shared" si="0"/>
        <v>54587.877257092259</v>
      </c>
      <c r="T17" s="25">
        <f t="shared" si="0"/>
        <v>54587.877257092259</v>
      </c>
      <c r="U17" s="25">
        <f t="shared" si="0"/>
        <v>54587.877257092259</v>
      </c>
      <c r="V17" s="25">
        <f t="shared" si="0"/>
        <v>54587.877257092259</v>
      </c>
      <c r="W17" s="25">
        <f t="shared" si="0"/>
        <v>54587.877257092259</v>
      </c>
      <c r="X17" s="25">
        <f t="shared" si="0"/>
        <v>54587.877257092259</v>
      </c>
      <c r="Y17" s="25">
        <f t="shared" si="0"/>
        <v>54587.877257092259</v>
      </c>
      <c r="Z17" s="25">
        <f t="shared" si="0"/>
        <v>54587.877257092259</v>
      </c>
    </row>
    <row r="18" spans="1:26" ht="18" customHeight="1" x14ac:dyDescent="0.3">
      <c r="A18" s="38"/>
      <c r="B18" s="39" t="s">
        <v>80</v>
      </c>
      <c r="C18" s="40">
        <f>C17</f>
        <v>54587.877257092259</v>
      </c>
      <c r="D18" s="40">
        <f t="shared" ref="D18:Z18" si="1">C18+D17</f>
        <v>109175.75451418452</v>
      </c>
      <c r="E18" s="40">
        <f t="shared" si="1"/>
        <v>163763.63177127676</v>
      </c>
      <c r="F18" s="40">
        <f t="shared" si="1"/>
        <v>218351.50902836904</v>
      </c>
      <c r="G18" s="40">
        <f t="shared" si="1"/>
        <v>272939.38628546131</v>
      </c>
      <c r="H18" s="40">
        <f t="shared" si="1"/>
        <v>327527.26354255358</v>
      </c>
      <c r="I18" s="40">
        <f t="shared" si="1"/>
        <v>382115.14079964586</v>
      </c>
      <c r="J18" s="40">
        <f t="shared" si="1"/>
        <v>436703.01805673813</v>
      </c>
      <c r="K18" s="40">
        <f t="shared" si="1"/>
        <v>491290.89531383041</v>
      </c>
      <c r="L18" s="40">
        <f t="shared" si="1"/>
        <v>545878.77257092262</v>
      </c>
      <c r="M18" s="40">
        <f t="shared" si="1"/>
        <v>600466.6498280149</v>
      </c>
      <c r="N18" s="40">
        <f t="shared" si="1"/>
        <v>655054.52708510717</v>
      </c>
      <c r="O18" s="40">
        <f t="shared" si="1"/>
        <v>709642.40434219944</v>
      </c>
      <c r="P18" s="40">
        <f t="shared" si="1"/>
        <v>764230.28159929172</v>
      </c>
      <c r="Q18" s="40">
        <f t="shared" si="1"/>
        <v>818818.15885638399</v>
      </c>
      <c r="R18" s="40">
        <f t="shared" si="1"/>
        <v>873406.03611347626</v>
      </c>
      <c r="S18" s="40">
        <f t="shared" si="1"/>
        <v>927993.91337056854</v>
      </c>
      <c r="T18" s="40">
        <f t="shared" si="1"/>
        <v>982581.79062766081</v>
      </c>
      <c r="U18" s="40">
        <f t="shared" si="1"/>
        <v>1037169.6678847531</v>
      </c>
      <c r="V18" s="40">
        <f t="shared" si="1"/>
        <v>1091757.5451418452</v>
      </c>
      <c r="W18" s="40">
        <f t="shared" si="1"/>
        <v>1146345.4223989374</v>
      </c>
      <c r="X18" s="40">
        <f t="shared" si="1"/>
        <v>1200933.2996560296</v>
      </c>
      <c r="Y18" s="40">
        <f t="shared" si="1"/>
        <v>1255521.1769131217</v>
      </c>
      <c r="Z18" s="40">
        <f t="shared" si="1"/>
        <v>1310109.0541702139</v>
      </c>
    </row>
  </sheetData>
  <mergeCells count="2">
    <mergeCell ref="A1:Z1"/>
    <mergeCell ref="A2:Z2"/>
  </mergeCells>
  <pageMargins left="0.5" right="0.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75623"/>
    <pageSetUpPr fitToPage="1"/>
  </sheetPr>
  <dimension ref="A1:G27"/>
  <sheetViews>
    <sheetView showGridLines="0" zoomScaleNormal="100" workbookViewId="0">
      <selection activeCell="A2" sqref="A2:G2"/>
    </sheetView>
  </sheetViews>
  <sheetFormatPr defaultColWidth="8.6640625" defaultRowHeight="14.4" x14ac:dyDescent="0.3"/>
  <cols>
    <col min="1" max="1" width="6" customWidth="1"/>
    <col min="2" max="2" width="28" customWidth="1"/>
    <col min="3" max="6" width="16" customWidth="1"/>
    <col min="7" max="7" width="20" customWidth="1"/>
  </cols>
  <sheetData>
    <row r="1" spans="1:7" ht="39.75" customHeight="1" x14ac:dyDescent="0.3">
      <c r="A1" s="59" t="s">
        <v>81</v>
      </c>
      <c r="B1" s="59"/>
      <c r="C1" s="59"/>
      <c r="D1" s="59"/>
      <c r="E1" s="59"/>
      <c r="F1" s="59"/>
      <c r="G1" s="59"/>
    </row>
    <row r="2" spans="1:7" ht="15.75" customHeight="1" x14ac:dyDescent="0.3">
      <c r="A2" s="72" t="s">
        <v>82</v>
      </c>
      <c r="B2" s="72"/>
      <c r="C2" s="72"/>
      <c r="D2" s="72"/>
      <c r="E2" s="72"/>
      <c r="F2" s="72"/>
      <c r="G2" s="72"/>
    </row>
    <row r="3" spans="1:7" ht="13.5" customHeight="1" x14ac:dyDescent="0.3">
      <c r="A3" s="62"/>
      <c r="B3" s="62"/>
      <c r="C3" s="62"/>
      <c r="D3" s="62"/>
      <c r="E3" s="62"/>
      <c r="F3" s="62"/>
      <c r="G3" s="62"/>
    </row>
    <row r="4" spans="1:7" ht="21.75" customHeight="1" x14ac:dyDescent="0.3">
      <c r="A4" s="41" t="s">
        <v>5</v>
      </c>
      <c r="B4" s="41" t="s">
        <v>6</v>
      </c>
      <c r="C4" s="41" t="s">
        <v>7</v>
      </c>
      <c r="D4" s="41" t="s">
        <v>83</v>
      </c>
      <c r="E4" s="41" t="s">
        <v>84</v>
      </c>
      <c r="F4" s="41" t="s">
        <v>17</v>
      </c>
      <c r="G4" s="41" t="s">
        <v>85</v>
      </c>
    </row>
    <row r="5" spans="1:7" x14ac:dyDescent="0.3">
      <c r="A5" s="4">
        <v>1</v>
      </c>
      <c r="B5" s="33" t="str">
        <f>'Asset Register'!B5</f>
        <v>Dell Laptop – Finance Dept</v>
      </c>
      <c r="C5" s="42" t="str">
        <f>'Asset Register'!C5</f>
        <v>IT Equipment</v>
      </c>
      <c r="D5" s="43">
        <f>'Asset Register'!E5</f>
        <v>85000</v>
      </c>
      <c r="E5" s="43">
        <f ca="1">'Asset Register'!J5</f>
        <v>32288.888888888891</v>
      </c>
      <c r="F5" s="12">
        <f ca="1">'Asset Register'!M5</f>
        <v>52711.111111111109</v>
      </c>
      <c r="G5" s="44">
        <f ca="1">IF(D5&lt;&gt;0,F5/D5,0)</f>
        <v>0.62013071895424832</v>
      </c>
    </row>
    <row r="6" spans="1:7" x14ac:dyDescent="0.3">
      <c r="A6" s="4">
        <v>2</v>
      </c>
      <c r="B6" s="35" t="str">
        <f>'Asset Register'!B6</f>
        <v>MacBook Pro – Design Team</v>
      </c>
      <c r="C6" s="45" t="str">
        <f>'Asset Register'!C6</f>
        <v>IT Equipment</v>
      </c>
      <c r="D6" s="46">
        <f>'Asset Register'!E6</f>
        <v>145000</v>
      </c>
      <c r="E6" s="46">
        <f ca="1">'Asset Register'!J6</f>
        <v>48708.333333333336</v>
      </c>
      <c r="F6" s="12">
        <f ca="1">'Asset Register'!M6</f>
        <v>96291.666666666657</v>
      </c>
      <c r="G6" s="47">
        <f t="shared" ref="G5:G16" ca="1" si="0">IF(D6&lt;&gt;0,F6/D6,0)</f>
        <v>0.66408045977011487</v>
      </c>
    </row>
    <row r="7" spans="1:7" x14ac:dyDescent="0.3">
      <c r="A7" s="4">
        <v>3</v>
      </c>
      <c r="B7" s="33" t="str">
        <f>'Asset Register'!B7</f>
        <v>HP LaserJet Printer</v>
      </c>
      <c r="C7" s="42" t="str">
        <f>'Asset Register'!C7</f>
        <v>IT Equipment</v>
      </c>
      <c r="D7" s="43">
        <f>'Asset Register'!E7</f>
        <v>35000</v>
      </c>
      <c r="E7" s="43">
        <f ca="1">'Asset Register'!J7</f>
        <v>31588.333333333336</v>
      </c>
      <c r="F7" s="12">
        <f ca="1">'Asset Register'!M7</f>
        <v>3411.6666666666642</v>
      </c>
      <c r="G7" s="44">
        <f t="shared" ca="1" si="0"/>
        <v>9.7476190476190411E-2</v>
      </c>
    </row>
    <row r="8" spans="1:7" x14ac:dyDescent="0.3">
      <c r="A8" s="4">
        <v>4</v>
      </c>
      <c r="B8" s="35" t="str">
        <f>'Asset Register'!B8</f>
        <v>CNC Milling Machine</v>
      </c>
      <c r="C8" s="45" t="str">
        <f>'Asset Register'!C8</f>
        <v>Machinery</v>
      </c>
      <c r="D8" s="46">
        <f>'Asset Register'!E8</f>
        <v>850000</v>
      </c>
      <c r="E8" s="46">
        <f ca="1">'Asset Register'!J8</f>
        <v>362262.34300342924</v>
      </c>
      <c r="F8" s="12">
        <f ca="1">'Asset Register'!M8</f>
        <v>487737.65699657076</v>
      </c>
      <c r="G8" s="47">
        <f t="shared" ca="1" si="0"/>
        <v>0.57380900823125969</v>
      </c>
    </row>
    <row r="9" spans="1:7" x14ac:dyDescent="0.3">
      <c r="A9" s="4">
        <v>5</v>
      </c>
      <c r="B9" s="33" t="str">
        <f>'Asset Register'!B9</f>
        <v>Industrial Compressor</v>
      </c>
      <c r="C9" s="42" t="str">
        <f>'Asset Register'!C9</f>
        <v>Machinery</v>
      </c>
      <c r="D9" s="43">
        <f>'Asset Register'!E9</f>
        <v>320000</v>
      </c>
      <c r="E9" s="43">
        <f ca="1">'Asset Register'!J9</f>
        <v>150124.10715731391</v>
      </c>
      <c r="F9" s="12">
        <f ca="1">'Asset Register'!M9</f>
        <v>169875.89284268609</v>
      </c>
      <c r="G9" s="44">
        <f t="shared" ca="1" si="0"/>
        <v>0.53086216513339402</v>
      </c>
    </row>
    <row r="10" spans="1:7" x14ac:dyDescent="0.3">
      <c r="A10" s="4">
        <v>6</v>
      </c>
      <c r="B10" s="35" t="str">
        <f>'Asset Register'!B10</f>
        <v>Hydraulic Press – Model HX200</v>
      </c>
      <c r="C10" s="45" t="str">
        <f>'Asset Register'!C10</f>
        <v>Machinery</v>
      </c>
      <c r="D10" s="46">
        <f>'Asset Register'!E10</f>
        <v>560000</v>
      </c>
      <c r="E10" s="46">
        <f ca="1">'Asset Register'!J10</f>
        <v>162719.86581047639</v>
      </c>
      <c r="F10" s="12">
        <f ca="1">'Asset Register'!M10</f>
        <v>397280.13418952364</v>
      </c>
      <c r="G10" s="47">
        <f t="shared" ca="1" si="0"/>
        <v>0.70942881105272082</v>
      </c>
    </row>
    <row r="11" spans="1:7" x14ac:dyDescent="0.3">
      <c r="A11" s="4">
        <v>7</v>
      </c>
      <c r="B11" s="33" t="str">
        <f>'Asset Register'!B11</f>
        <v>Office Workstation Set (6 pcs)</v>
      </c>
      <c r="C11" s="42" t="str">
        <f>'Asset Register'!C11</f>
        <v>Furniture</v>
      </c>
      <c r="D11" s="43">
        <f>'Asset Register'!E11</f>
        <v>72000</v>
      </c>
      <c r="E11" s="43">
        <f ca="1">'Asset Register'!J11</f>
        <v>51850.555555555555</v>
      </c>
      <c r="F11" s="12">
        <f ca="1">'Asset Register'!M11</f>
        <v>20149.444444444445</v>
      </c>
      <c r="G11" s="44">
        <f t="shared" ca="1" si="0"/>
        <v>0.2798533950617284</v>
      </c>
    </row>
    <row r="12" spans="1:7" x14ac:dyDescent="0.3">
      <c r="A12" s="4">
        <v>8</v>
      </c>
      <c r="B12" s="35" t="str">
        <f>'Asset Register'!B12</f>
        <v>Executive Board Room Table</v>
      </c>
      <c r="C12" s="45" t="str">
        <f>'Asset Register'!C12</f>
        <v>Furniture</v>
      </c>
      <c r="D12" s="46">
        <f>'Asset Register'!E12</f>
        <v>95000</v>
      </c>
      <c r="E12" s="46">
        <f ca="1">'Asset Register'!J12</f>
        <v>33923.958333333336</v>
      </c>
      <c r="F12" s="12">
        <f ca="1">'Asset Register'!M12</f>
        <v>61076.041666666664</v>
      </c>
      <c r="G12" s="47">
        <f t="shared" ca="1" si="0"/>
        <v>0.64290570175438599</v>
      </c>
    </row>
    <row r="13" spans="1:7" x14ac:dyDescent="0.3">
      <c r="A13" s="4">
        <v>9</v>
      </c>
      <c r="B13" s="33" t="str">
        <f>'Asset Register'!B13</f>
        <v>Steel Storage Shelving</v>
      </c>
      <c r="C13" s="42" t="str">
        <f>'Asset Register'!C13</f>
        <v>Furniture</v>
      </c>
      <c r="D13" s="43">
        <f>'Asset Register'!E13</f>
        <v>28000</v>
      </c>
      <c r="E13" s="43">
        <f ca="1">'Asset Register'!J13</f>
        <v>23595</v>
      </c>
      <c r="F13" s="12">
        <f ca="1">'Asset Register'!M13</f>
        <v>4405</v>
      </c>
      <c r="G13" s="44">
        <f t="shared" ca="1" si="0"/>
        <v>0.15732142857142858</v>
      </c>
    </row>
    <row r="14" spans="1:7" x14ac:dyDescent="0.3">
      <c r="A14" s="4">
        <v>10</v>
      </c>
      <c r="B14" s="35" t="str">
        <f>'Asset Register'!B14</f>
        <v>Air Conditioning Unit (3 Tr)</v>
      </c>
      <c r="C14" s="45" t="str">
        <f>'Asset Register'!C14</f>
        <v>Plant &amp; Equip</v>
      </c>
      <c r="D14" s="46">
        <f>'Asset Register'!E14</f>
        <v>115000</v>
      </c>
      <c r="E14" s="46">
        <f ca="1">'Asset Register'!J14</f>
        <v>38470.833333333328</v>
      </c>
      <c r="F14" s="12">
        <f ca="1">'Asset Register'!M14</f>
        <v>76529.166666666672</v>
      </c>
      <c r="G14" s="47">
        <f t="shared" ca="1" si="0"/>
        <v>0.6654710144927537</v>
      </c>
    </row>
    <row r="15" spans="1:7" x14ac:dyDescent="0.3">
      <c r="A15" s="4">
        <v>11</v>
      </c>
      <c r="B15" s="33" t="str">
        <f>'Asset Register'!B15</f>
        <v>CCTV Surveillance System</v>
      </c>
      <c r="C15" s="42" t="str">
        <f>'Asset Register'!C15</f>
        <v>Plant &amp; Equip</v>
      </c>
      <c r="D15" s="43">
        <f>'Asset Register'!E15</f>
        <v>68000</v>
      </c>
      <c r="E15" s="43">
        <f ca="1">'Asset Register'!J15</f>
        <v>38386.111111111117</v>
      </c>
      <c r="F15" s="12">
        <f ca="1">'Asset Register'!M15</f>
        <v>29613.888888888883</v>
      </c>
      <c r="G15" s="44">
        <f t="shared" ca="1" si="0"/>
        <v>0.43549836601307179</v>
      </c>
    </row>
    <row r="16" spans="1:7" x14ac:dyDescent="0.3">
      <c r="A16" s="4">
        <v>12</v>
      </c>
      <c r="B16" s="35" t="str">
        <f>'Asset Register'!B16</f>
        <v>Electric Forklift – Model EF3</v>
      </c>
      <c r="C16" s="45" t="str">
        <f>'Asset Register'!C16</f>
        <v>Plant &amp; Equip</v>
      </c>
      <c r="D16" s="46">
        <f>'Asset Register'!E16</f>
        <v>425000</v>
      </c>
      <c r="E16" s="46">
        <f ca="1">'Asset Register'!J16</f>
        <v>221136.4179192819</v>
      </c>
      <c r="F16" s="12">
        <f ca="1">'Asset Register'!M16</f>
        <v>203863.5820807181</v>
      </c>
      <c r="G16" s="47">
        <f t="shared" ca="1" si="0"/>
        <v>0.47967901666051316</v>
      </c>
    </row>
    <row r="17" spans="1:7" ht="15.6" x14ac:dyDescent="0.3">
      <c r="A17" s="24"/>
      <c r="B17" s="23" t="s">
        <v>86</v>
      </c>
      <c r="C17" s="24"/>
      <c r="D17" s="25">
        <f>SUM(D5:D16)</f>
        <v>2798000</v>
      </c>
      <c r="E17" s="25">
        <f ca="1">SUM(E5:E16)</f>
        <v>1195054.7477793903</v>
      </c>
      <c r="F17" s="48">
        <f ca="1">SUM(F5:F16)</f>
        <v>1602945.2522206102</v>
      </c>
      <c r="G17" s="24"/>
    </row>
    <row r="20" spans="1:7" ht="21.75" customHeight="1" x14ac:dyDescent="0.3">
      <c r="A20" s="63" t="s">
        <v>87</v>
      </c>
      <c r="B20" s="63"/>
      <c r="C20" s="63"/>
      <c r="D20" s="63"/>
      <c r="E20" s="63"/>
      <c r="F20" s="63"/>
      <c r="G20" s="63"/>
    </row>
    <row r="21" spans="1:7" ht="15.75" customHeight="1" x14ac:dyDescent="0.3">
      <c r="A21" s="60" t="s">
        <v>88</v>
      </c>
      <c r="B21" s="60"/>
      <c r="C21" s="60"/>
      <c r="D21" s="60"/>
      <c r="E21" s="60"/>
      <c r="F21" s="60"/>
      <c r="G21" s="60"/>
    </row>
    <row r="22" spans="1:7" ht="15.75" customHeight="1" x14ac:dyDescent="0.3">
      <c r="A22" s="61" t="s">
        <v>89</v>
      </c>
      <c r="B22" s="61"/>
      <c r="C22" s="61"/>
      <c r="D22" s="61"/>
      <c r="E22" s="61"/>
      <c r="F22" s="61"/>
      <c r="G22" s="61"/>
    </row>
    <row r="23" spans="1:7" ht="15.75" customHeight="1" x14ac:dyDescent="0.3">
      <c r="A23" s="60" t="s">
        <v>90</v>
      </c>
      <c r="B23" s="60"/>
      <c r="C23" s="60"/>
      <c r="D23" s="60"/>
      <c r="E23" s="60"/>
      <c r="F23" s="60"/>
      <c r="G23" s="60"/>
    </row>
    <row r="24" spans="1:7" ht="15.75" customHeight="1" x14ac:dyDescent="0.3">
      <c r="A24" s="61" t="s">
        <v>91</v>
      </c>
      <c r="B24" s="61"/>
      <c r="C24" s="61"/>
      <c r="D24" s="61"/>
      <c r="E24" s="61"/>
      <c r="F24" s="61"/>
      <c r="G24" s="61"/>
    </row>
    <row r="25" spans="1:7" ht="15.75" customHeight="1" x14ac:dyDescent="0.3">
      <c r="A25" s="60" t="s">
        <v>92</v>
      </c>
      <c r="B25" s="60"/>
      <c r="C25" s="60"/>
      <c r="D25" s="60"/>
      <c r="E25" s="60"/>
      <c r="F25" s="60"/>
      <c r="G25" s="60"/>
    </row>
    <row r="26" spans="1:7" ht="15.75" customHeight="1" x14ac:dyDescent="0.3">
      <c r="A26" s="61" t="s">
        <v>93</v>
      </c>
      <c r="B26" s="61"/>
      <c r="C26" s="61"/>
      <c r="D26" s="61"/>
      <c r="E26" s="61"/>
      <c r="F26" s="61"/>
      <c r="G26" s="61"/>
    </row>
    <row r="27" spans="1:7" ht="15.75" customHeight="1" x14ac:dyDescent="0.3">
      <c r="A27" s="60" t="s">
        <v>94</v>
      </c>
      <c r="B27" s="60"/>
      <c r="C27" s="60"/>
      <c r="D27" s="60"/>
      <c r="E27" s="60"/>
      <c r="F27" s="60"/>
      <c r="G27" s="60"/>
    </row>
  </sheetData>
  <mergeCells count="11">
    <mergeCell ref="A1:G1"/>
    <mergeCell ref="A2:G2"/>
    <mergeCell ref="A3:G3"/>
    <mergeCell ref="A20:G20"/>
    <mergeCell ref="A21:G21"/>
    <mergeCell ref="A27:G27"/>
    <mergeCell ref="A22:G22"/>
    <mergeCell ref="A23:G23"/>
    <mergeCell ref="A24:G24"/>
    <mergeCell ref="A25:G25"/>
    <mergeCell ref="A26:G26"/>
  </mergeCells>
  <pageMargins left="0.5" right="0.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9A96E"/>
    <pageSetUpPr fitToPage="1"/>
  </sheetPr>
  <dimension ref="A1:B25"/>
  <sheetViews>
    <sheetView showGridLines="0" zoomScaleNormal="100" workbookViewId="0">
      <selection sqref="A1:B1"/>
    </sheetView>
  </sheetViews>
  <sheetFormatPr defaultColWidth="8.6640625" defaultRowHeight="14.4" x14ac:dyDescent="0.3"/>
  <cols>
    <col min="1" max="1" width="30" customWidth="1"/>
    <col min="2" max="2" width="91.88671875" bestFit="1" customWidth="1"/>
  </cols>
  <sheetData>
    <row r="1" spans="1:2" ht="36" customHeight="1" x14ac:dyDescent="0.3">
      <c r="A1" s="59" t="s">
        <v>95</v>
      </c>
      <c r="B1" s="59"/>
    </row>
    <row r="3" spans="1:2" ht="19.5" customHeight="1" x14ac:dyDescent="0.3">
      <c r="A3" s="49" t="s">
        <v>96</v>
      </c>
      <c r="B3" s="66" t="s">
        <v>122</v>
      </c>
    </row>
    <row r="4" spans="1:2" ht="19.5" customHeight="1" x14ac:dyDescent="0.3">
      <c r="A4" s="51" t="s">
        <v>97</v>
      </c>
      <c r="B4" s="52" t="s">
        <v>98</v>
      </c>
    </row>
    <row r="5" spans="1:2" ht="19.5" customHeight="1" x14ac:dyDescent="0.3">
      <c r="A5" s="49" t="s">
        <v>99</v>
      </c>
      <c r="B5" s="50" t="s">
        <v>100</v>
      </c>
    </row>
    <row r="6" spans="1:2" ht="19.5" customHeight="1" x14ac:dyDescent="0.3">
      <c r="A6" s="51" t="s">
        <v>101</v>
      </c>
      <c r="B6" s="52" t="s">
        <v>102</v>
      </c>
    </row>
    <row r="7" spans="1:2" ht="19.5" customHeight="1" x14ac:dyDescent="0.3"/>
    <row r="8" spans="1:2" ht="19.5" customHeight="1" x14ac:dyDescent="0.3">
      <c r="A8" s="53" t="s">
        <v>103</v>
      </c>
      <c r="B8" s="54"/>
    </row>
    <row r="9" spans="1:2" ht="48" customHeight="1" x14ac:dyDescent="0.3">
      <c r="A9" s="49" t="s">
        <v>104</v>
      </c>
      <c r="B9" s="50" t="s">
        <v>105</v>
      </c>
    </row>
    <row r="10" spans="1:2" ht="43.8" customHeight="1" x14ac:dyDescent="0.3">
      <c r="A10" s="51" t="s">
        <v>106</v>
      </c>
      <c r="B10" s="52" t="s">
        <v>107</v>
      </c>
    </row>
    <row r="11" spans="1:2" ht="19.5" customHeight="1" x14ac:dyDescent="0.3"/>
    <row r="12" spans="1:2" ht="19.5" customHeight="1" x14ac:dyDescent="0.3">
      <c r="A12" s="53" t="s">
        <v>108</v>
      </c>
      <c r="B12" s="54"/>
    </row>
    <row r="13" spans="1:2" ht="19.5" customHeight="1" x14ac:dyDescent="0.3">
      <c r="A13" s="49" t="s">
        <v>109</v>
      </c>
      <c r="B13" s="50" t="s">
        <v>110</v>
      </c>
    </row>
    <row r="14" spans="1:2" ht="19.5" customHeight="1" x14ac:dyDescent="0.3">
      <c r="A14" s="51" t="s">
        <v>111</v>
      </c>
      <c r="B14" s="52" t="s">
        <v>112</v>
      </c>
    </row>
    <row r="15" spans="1:2" ht="19.5" customHeight="1" x14ac:dyDescent="0.3">
      <c r="A15" s="49" t="s">
        <v>113</v>
      </c>
      <c r="B15" s="50" t="s">
        <v>114</v>
      </c>
    </row>
    <row r="16" spans="1:2" ht="19.5" customHeight="1" x14ac:dyDescent="0.3">
      <c r="A16" s="51" t="s">
        <v>115</v>
      </c>
      <c r="B16" s="52" t="s">
        <v>116</v>
      </c>
    </row>
    <row r="17" spans="1:2" ht="19.5" customHeight="1" x14ac:dyDescent="0.3">
      <c r="A17" s="49" t="s">
        <v>117</v>
      </c>
      <c r="B17" s="50" t="s">
        <v>118</v>
      </c>
    </row>
    <row r="18" spans="1:2" ht="19.5" customHeight="1" x14ac:dyDescent="0.3">
      <c r="A18" s="51" t="s">
        <v>119</v>
      </c>
      <c r="B18" s="52" t="s">
        <v>120</v>
      </c>
    </row>
    <row r="19" spans="1:2" ht="19.5" customHeight="1" x14ac:dyDescent="0.3"/>
    <row r="20" spans="1:2" ht="19.5" customHeight="1" x14ac:dyDescent="0.3"/>
    <row r="21" spans="1:2" ht="19.5" customHeight="1" x14ac:dyDescent="0.3"/>
    <row r="22" spans="1:2" ht="19.5" customHeight="1" x14ac:dyDescent="0.3"/>
    <row r="23" spans="1:2" ht="19.5" customHeight="1" x14ac:dyDescent="0.3"/>
    <row r="24" spans="1:2" ht="19.5" customHeight="1" x14ac:dyDescent="0.3"/>
    <row r="25" spans="1:2" ht="19.5" customHeight="1" x14ac:dyDescent="0.3"/>
  </sheetData>
  <mergeCells count="1">
    <mergeCell ref="A1:B1"/>
  </mergeCells>
  <pageMargins left="0.5" right="0.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Register</vt:lpstr>
      <vt:lpstr>Depreciation Schedule</vt:lpstr>
      <vt:lpstr>NBV Summary – Balance Sheet</vt:lpstr>
      <vt:lpstr>Methodology &amp; 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dc:description/>
  <cp:lastModifiedBy>Anjani Kumar Mishra</cp:lastModifiedBy>
  <cp:revision>0</cp:revision>
  <dcterms:created xsi:type="dcterms:W3CDTF">2026-04-10T17:42:18Z</dcterms:created>
  <dcterms:modified xsi:type="dcterms:W3CDTF">2026-04-14T18:06:14Z</dcterms:modified>
  <dc:language>en-US</dc:language>
</cp:coreProperties>
</file>