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anj\Documents\GitHub\inakm.github.io\myprojects\ExelProj\"/>
    </mc:Choice>
  </mc:AlternateContent>
  <xr:revisionPtr revIDLastSave="0" documentId="13_ncr:1_{508C2A12-DBB6-411A-B337-6711E2EAE12F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AR Aging Tracker" sheetId="1" r:id="rId1"/>
    <sheet name="Aging Summary" sheetId="2" r:id="rId2"/>
  </sheets>
  <definedNames>
    <definedName name="_xlnm.Print_Titles" localSheetId="0">'AR Aging Tracker'!$7:$7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9" i="1" l="1"/>
  <c r="B4" i="1" s="1"/>
  <c r="L18" i="1"/>
  <c r="G19" i="1"/>
  <c r="J19" i="1" s="1"/>
  <c r="E2" i="1"/>
  <c r="A2" i="2" s="1"/>
  <c r="B10" i="2"/>
  <c r="L4" i="1"/>
  <c r="G18" i="1"/>
  <c r="H18" i="1" s="1"/>
  <c r="K18" i="1" s="1"/>
  <c r="L8" i="1"/>
  <c r="J12" i="1"/>
  <c r="J17" i="1"/>
  <c r="G10" i="1"/>
  <c r="J10" i="1" s="1"/>
  <c r="G9" i="1"/>
  <c r="J9" i="1" s="1"/>
  <c r="G8" i="1"/>
  <c r="J8" i="1" s="1"/>
  <c r="L9" i="1"/>
  <c r="D9" i="2"/>
  <c r="C9" i="2"/>
  <c r="B9" i="2"/>
  <c r="L17" i="1"/>
  <c r="H17" i="1"/>
  <c r="K17" i="1" s="1"/>
  <c r="G17" i="1"/>
  <c r="L16" i="1"/>
  <c r="G16" i="1"/>
  <c r="H16" i="1" s="1"/>
  <c r="K16" i="1" s="1"/>
  <c r="L15" i="1"/>
  <c r="G15" i="1"/>
  <c r="H15" i="1" s="1"/>
  <c r="K15" i="1" s="1"/>
  <c r="L14" i="1"/>
  <c r="G14" i="1"/>
  <c r="H14" i="1" s="1"/>
  <c r="K14" i="1" s="1"/>
  <c r="L13" i="1"/>
  <c r="G13" i="1"/>
  <c r="J13" i="1" s="1"/>
  <c r="L12" i="1"/>
  <c r="H12" i="1"/>
  <c r="K12" i="1" s="1"/>
  <c r="G12" i="1"/>
  <c r="L11" i="1"/>
  <c r="G11" i="1"/>
  <c r="J11" i="1" s="1"/>
  <c r="L10" i="1"/>
  <c r="H19" i="1" l="1"/>
  <c r="K19" i="1" s="1"/>
  <c r="C10" i="2"/>
  <c r="J18" i="1"/>
  <c r="J16" i="1"/>
  <c r="J15" i="1"/>
  <c r="J14" i="1"/>
  <c r="H8" i="1"/>
  <c r="H13" i="1"/>
  <c r="K13" i="1" s="1"/>
  <c r="H9" i="1"/>
  <c r="K9" i="1" s="1"/>
  <c r="H10" i="1"/>
  <c r="K10" i="1" s="1"/>
  <c r="H11" i="1"/>
  <c r="K11" i="1" s="1"/>
  <c r="B8" i="2" l="1"/>
  <c r="B6" i="2"/>
  <c r="K8" i="1"/>
  <c r="C7" i="2"/>
  <c r="D7" i="2" s="1"/>
  <c r="C6" i="2"/>
  <c r="D6" i="2" s="1"/>
  <c r="B5" i="2"/>
  <c r="B7" i="2"/>
  <c r="C8" i="2"/>
  <c r="D8" i="2" s="1"/>
  <c r="C5" i="2"/>
  <c r="D5" i="2" s="1"/>
  <c r="D10" i="2" l="1"/>
  <c r="H4" i="1"/>
  <c r="D4" i="1"/>
  <c r="F4" i="1"/>
  <c r="J4" i="1"/>
</calcChain>
</file>

<file path=xl/sharedStrings.xml><?xml version="1.0" encoding="utf-8"?>
<sst xmlns="http://schemas.openxmlformats.org/spreadsheetml/2006/main" count="87" uniqueCount="61">
  <si>
    <t>AUTOMATED ACCOUNTS RECEIVABLE AGING REPORT</t>
  </si>
  <si>
    <t>Report Date:</t>
  </si>
  <si>
    <t>Total Outstanding</t>
  </si>
  <si>
    <t>0-30 Days</t>
  </si>
  <si>
    <t>31-60 Days</t>
  </si>
  <si>
    <t>61-90 Days</t>
  </si>
  <si>
    <t>90+ Days (High Risk)</t>
  </si>
  <si>
    <t>Collected</t>
  </si>
  <si>
    <t>Invoice #</t>
  </si>
  <si>
    <t>Customer Name</t>
  </si>
  <si>
    <t>Invoice Date</t>
  </si>
  <si>
    <t>Due Date</t>
  </si>
  <si>
    <t>Invoice Amt ($)</t>
  </si>
  <si>
    <t>Paid Amt ($)</t>
  </si>
  <si>
    <t>Days Overdue</t>
  </si>
  <si>
    <t>Aging Bucket</t>
  </si>
  <si>
    <t>Customer Tier</t>
  </si>
  <si>
    <t>Risk Level</t>
  </si>
  <si>
    <t>Aging Category</t>
  </si>
  <si>
    <t>Outstanding ($)</t>
  </si>
  <si>
    <t>Status</t>
  </si>
  <si>
    <t>INV-001</t>
  </si>
  <si>
    <t>Reliance Industries</t>
  </si>
  <si>
    <t>A</t>
  </si>
  <si>
    <t>Pending</t>
  </si>
  <si>
    <t>INV-002</t>
  </si>
  <si>
    <t>Tata Consultancy</t>
  </si>
  <si>
    <t>INV-003</t>
  </si>
  <si>
    <t>Wipro Ltd</t>
  </si>
  <si>
    <t>B</t>
  </si>
  <si>
    <t>INV-004</t>
  </si>
  <si>
    <t>Infosys Ltd</t>
  </si>
  <si>
    <t>INV-005</t>
  </si>
  <si>
    <t>HCL Technologies</t>
  </si>
  <si>
    <t>INV-006</t>
  </si>
  <si>
    <t>Mahindra &amp; Mahindra</t>
  </si>
  <si>
    <t>C</t>
  </si>
  <si>
    <t>INV-007</t>
  </si>
  <si>
    <t>Bajaj Auto</t>
  </si>
  <si>
    <t>INV-008</t>
  </si>
  <si>
    <t>Asian Paints</t>
  </si>
  <si>
    <t>INV-009</t>
  </si>
  <si>
    <t>Larsen &amp; Toubro</t>
  </si>
  <si>
    <t>INV-010</t>
  </si>
  <si>
    <t>HDFC Bank</t>
  </si>
  <si>
    <t>AR AGING SUMMARY DASHBOARD</t>
  </si>
  <si>
    <t># Invoices</t>
  </si>
  <si>
    <t>% of Total</t>
  </si>
  <si>
    <t>Risk Flag</t>
  </si>
  <si>
    <t>Current</t>
  </si>
  <si>
    <t>Watchlist</t>
  </si>
  <si>
    <t>At Risk</t>
  </si>
  <si>
    <t>90+ Days</t>
  </si>
  <si>
    <t>High Risk</t>
  </si>
  <si>
    <t>Closed</t>
  </si>
  <si>
    <t>TOTAL OUTSTANDING</t>
  </si>
  <si>
    <t>—</t>
  </si>
  <si>
    <t>INV-011</t>
  </si>
  <si>
    <t>Dell Tech</t>
  </si>
  <si>
    <t>INV-012</t>
  </si>
  <si>
    <t>HP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</si>
</sst>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\$#,##0.00"/>
    <numFmt numFmtId="166" formatCode="0.0%"/>
  </numFmts>
  <fonts count="2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FFFF00"/>
      <name val="Arial"/>
      <charset val="1"/>
    </font>
    <font>
      <b/>
      <sz val="9"/>
      <color rgb="FFFFFFFF"/>
      <name val="Arial"/>
      <charset val="1"/>
    </font>
    <font>
      <b/>
      <sz val="11"/>
      <color rgb="FFFFFFFF"/>
      <name val="Arial"/>
      <charset val="1"/>
    </font>
    <font>
      <b/>
      <sz val="9"/>
      <color rgb="FF375623"/>
      <name val="Arial"/>
      <charset val="1"/>
    </font>
    <font>
      <b/>
      <sz val="11"/>
      <color rgb="FF375623"/>
      <name val="Arial"/>
      <charset val="1"/>
    </font>
    <font>
      <b/>
      <sz val="9"/>
      <color rgb="FF7D6608"/>
      <name val="Arial"/>
      <charset val="1"/>
    </font>
    <font>
      <b/>
      <sz val="11"/>
      <color rgb="FF7D6608"/>
      <name val="Arial"/>
      <charset val="1"/>
    </font>
    <font>
      <b/>
      <sz val="9"/>
      <color rgb="FF843C0C"/>
      <name val="Arial"/>
      <charset val="1"/>
    </font>
    <font>
      <b/>
      <sz val="11"/>
      <color rgb="FF843C0C"/>
      <name val="Arial"/>
      <charset val="1"/>
    </font>
    <font>
      <b/>
      <sz val="9"/>
      <color rgb="FF9C0006"/>
      <name val="Arial"/>
      <charset val="1"/>
    </font>
    <font>
      <b/>
      <sz val="11"/>
      <color rgb="FF9C0006"/>
      <name val="Arial"/>
      <charset val="1"/>
    </font>
    <font>
      <b/>
      <sz val="9"/>
      <color rgb="FF276221"/>
      <name val="Arial"/>
      <charset val="1"/>
    </font>
    <font>
      <b/>
      <sz val="11"/>
      <color rgb="FF276221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14"/>
      <color rgb="FFFFFFFF"/>
      <name val="Arial"/>
      <charset val="1"/>
    </font>
    <font>
      <i/>
      <sz val="10"/>
      <color rgb="FF1F3864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DEEFF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EB9C"/>
        <bgColor rgb="FFFCE4D6"/>
      </patternFill>
    </fill>
    <fill>
      <patternFill patternType="solid">
        <fgColor rgb="FFFCE4D6"/>
        <bgColor rgb="FFFFD7D7"/>
      </patternFill>
    </fill>
    <fill>
      <patternFill patternType="solid">
        <fgColor rgb="FFFFC7CE"/>
        <bgColor rgb="FFFFD7D7"/>
      </patternFill>
    </fill>
    <fill>
      <patternFill patternType="solid">
        <fgColor rgb="FFC6EFCE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BDD7EE"/>
      </left>
      <right style="thin">
        <color rgb="FFBDD7EE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164" fontId="16" fillId="10" borderId="2" xfId="0" applyNumberFormat="1" applyFont="1" applyFill="1" applyBorder="1" applyAlignment="1">
      <alignment horizontal="left" vertical="center"/>
    </xf>
    <xf numFmtId="165" fontId="16" fillId="10" borderId="2" xfId="0" applyNumberFormat="1" applyFont="1" applyFill="1" applyBorder="1" applyAlignment="1">
      <alignment horizontal="left" vertical="center"/>
    </xf>
    <xf numFmtId="1" fontId="17" fillId="10" borderId="2" xfId="0" applyNumberFormat="1" applyFont="1" applyFill="1" applyBorder="1" applyAlignment="1">
      <alignment horizontal="left" vertical="center"/>
    </xf>
    <xf numFmtId="0" fontId="17" fillId="10" borderId="2" xfId="0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165" fontId="17" fillId="10" borderId="2" xfId="0" applyNumberFormat="1" applyFont="1" applyFill="1" applyBorder="1" applyAlignment="1">
      <alignment horizontal="left" vertical="center"/>
    </xf>
    <xf numFmtId="0" fontId="16" fillId="11" borderId="2" xfId="0" applyFont="1" applyFill="1" applyBorder="1" applyAlignment="1">
      <alignment horizontal="left" vertical="center"/>
    </xf>
    <xf numFmtId="164" fontId="16" fillId="11" borderId="2" xfId="0" applyNumberFormat="1" applyFont="1" applyFill="1" applyBorder="1" applyAlignment="1">
      <alignment horizontal="left" vertical="center"/>
    </xf>
    <xf numFmtId="165" fontId="16" fillId="11" borderId="2" xfId="0" applyNumberFormat="1" applyFont="1" applyFill="1" applyBorder="1" applyAlignment="1">
      <alignment horizontal="left" vertical="center"/>
    </xf>
    <xf numFmtId="1" fontId="17" fillId="11" borderId="2" xfId="0" applyNumberFormat="1" applyFont="1" applyFill="1" applyBorder="1" applyAlignment="1">
      <alignment horizontal="left" vertical="center"/>
    </xf>
    <xf numFmtId="0" fontId="17" fillId="11" borderId="2" xfId="0" applyFont="1" applyFill="1" applyBorder="1" applyAlignment="1">
      <alignment horizontal="left" vertical="center"/>
    </xf>
    <xf numFmtId="0" fontId="16" fillId="11" borderId="2" xfId="0" applyFont="1" applyFill="1" applyBorder="1" applyAlignment="1">
      <alignment horizontal="center" vertical="center" wrapText="1"/>
    </xf>
    <xf numFmtId="165" fontId="17" fillId="11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1" fontId="22" fillId="5" borderId="2" xfId="0" applyNumberFormat="1" applyFont="1" applyFill="1" applyBorder="1" applyAlignment="1">
      <alignment horizontal="center" vertical="center" wrapText="1"/>
    </xf>
    <xf numFmtId="165" fontId="22" fillId="5" borderId="2" xfId="0" applyNumberFormat="1" applyFont="1" applyFill="1" applyBorder="1" applyAlignment="1">
      <alignment horizontal="center" vertical="center" wrapText="1"/>
    </xf>
    <xf numFmtId="166" fontId="22" fillId="5" borderId="2" xfId="0" applyNumberFormat="1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1" fontId="22" fillId="6" borderId="2" xfId="0" applyNumberFormat="1" applyFont="1" applyFill="1" applyBorder="1" applyAlignment="1">
      <alignment horizontal="center" vertical="center" wrapText="1"/>
    </xf>
    <xf numFmtId="165" fontId="22" fillId="6" borderId="2" xfId="0" applyNumberFormat="1" applyFont="1" applyFill="1" applyBorder="1" applyAlignment="1">
      <alignment horizontal="center" vertical="center" wrapText="1"/>
    </xf>
    <xf numFmtId="166" fontId="22" fillId="6" borderId="2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1" fontId="22" fillId="7" borderId="2" xfId="0" applyNumberFormat="1" applyFont="1" applyFill="1" applyBorder="1" applyAlignment="1">
      <alignment horizontal="center" vertical="center" wrapText="1"/>
    </xf>
    <xf numFmtId="165" fontId="22" fillId="7" borderId="2" xfId="0" applyNumberFormat="1" applyFont="1" applyFill="1" applyBorder="1" applyAlignment="1">
      <alignment horizontal="center" vertical="center" wrapText="1"/>
    </xf>
    <xf numFmtId="166" fontId="22" fillId="7" borderId="2" xfId="0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1" fontId="22" fillId="8" borderId="2" xfId="0" applyNumberFormat="1" applyFont="1" applyFill="1" applyBorder="1" applyAlignment="1">
      <alignment horizontal="center" vertical="center" wrapText="1"/>
    </xf>
    <xf numFmtId="165" fontId="22" fillId="8" borderId="2" xfId="0" applyNumberFormat="1" applyFont="1" applyFill="1" applyBorder="1" applyAlignment="1">
      <alignment horizontal="center" vertical="center" wrapText="1"/>
    </xf>
    <xf numFmtId="166" fontId="22" fillId="8" borderId="2" xfId="0" applyNumberFormat="1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1" fontId="22" fillId="9" borderId="2" xfId="0" applyNumberFormat="1" applyFont="1" applyFill="1" applyBorder="1" applyAlignment="1">
      <alignment horizontal="center" vertical="center" wrapText="1"/>
    </xf>
    <xf numFmtId="165" fontId="22" fillId="9" borderId="2" xfId="0" applyNumberFormat="1" applyFont="1" applyFill="1" applyBorder="1" applyAlignment="1">
      <alignment horizontal="center" vertical="center" wrapText="1"/>
    </xf>
    <xf numFmtId="166" fontId="22" fillId="9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6" fillId="10" borderId="3" xfId="0" applyFont="1" applyFill="1" applyBorder="1" applyAlignment="1">
      <alignment horizontal="left" vertical="center"/>
    </xf>
    <xf numFmtId="165" fontId="16" fillId="10" borderId="3" xfId="0" applyNumberFormat="1" applyFont="1" applyFill="1" applyBorder="1" applyAlignment="1">
      <alignment horizontal="left" vertical="center"/>
    </xf>
    <xf numFmtId="0" fontId="16" fillId="10" borderId="3" xfId="0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9" fillId="6" borderId="0" xfId="0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5" fontId="11" fillId="7" borderId="0" xfId="0" applyNumberFormat="1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165" fontId="13" fillId="8" borderId="0" xfId="0" applyNumberFormat="1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16" fillId="11" borderId="3" xfId="0" applyFont="1" applyFill="1" applyBorder="1" applyAlignment="1">
      <alignment horizontal="left" vertical="center"/>
    </xf>
    <xf numFmtId="165" fontId="16" fillId="11" borderId="3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16" fillId="11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FD7D7"/>
        </patternFill>
      </fill>
    </dxf>
    <dxf>
      <font>
        <b/>
        <sz val="9"/>
        <color rgb="FF375623"/>
        <name val="Arial"/>
        <charset val="1"/>
      </font>
      <fill>
        <patternFill>
          <bgColor rgb="FFE2EFDA"/>
        </patternFill>
      </fill>
    </dxf>
    <dxf>
      <font>
        <b/>
        <sz val="9"/>
        <color rgb="FF843C0C"/>
        <name val="Arial"/>
        <charset val="1"/>
      </font>
      <fill>
        <patternFill>
          <bgColor rgb="FFFCE4D6"/>
        </patternFill>
      </fill>
    </dxf>
    <dxf>
      <font>
        <b/>
        <sz val="9"/>
        <color rgb="FF7D6608"/>
        <name val="Arial"/>
        <charset val="1"/>
      </font>
      <fill>
        <patternFill>
          <bgColor rgb="FFFFEB9C"/>
        </patternFill>
      </fill>
    </dxf>
    <dxf>
      <font>
        <b/>
        <sz val="9"/>
        <color rgb="FF9C0006"/>
        <name val="Arial"/>
        <charset val="1"/>
      </font>
      <fill>
        <patternFill>
          <bgColor rgb="FFFFC7CE"/>
        </patternFill>
      </fill>
    </dxf>
    <dxf>
      <font>
        <sz val="9"/>
        <color rgb="FF375623"/>
        <name val="Arial"/>
        <charset val="1"/>
      </font>
      <fill>
        <patternFill>
          <bgColor rgb="FFE2EFDA"/>
        </patternFill>
      </fill>
    </dxf>
    <dxf>
      <font>
        <sz val="9"/>
        <color rgb="FF7D6608"/>
        <name val="Arial"/>
        <charset val="1"/>
      </font>
      <fill>
        <patternFill>
          <bgColor rgb="FFFFEB9C"/>
        </patternFill>
      </fill>
    </dxf>
    <dxf>
      <font>
        <sz val="9"/>
        <color rgb="FF843C0C"/>
        <name val="Arial"/>
        <charset val="1"/>
      </font>
      <fill>
        <patternFill>
          <bgColor rgb="FFFCE4D6"/>
        </patternFill>
      </fill>
    </dxf>
    <dxf>
      <font>
        <sz val="9"/>
        <color rgb="FF9C0006"/>
        <name val="Arial"/>
        <charset val="1"/>
      </font>
      <fill>
        <patternFill>
          <bgColor rgb="FFFFC7CE"/>
        </patternFill>
      </fill>
    </dxf>
    <dxf>
      <fill>
        <patternFill>
          <bgColor rgb="FFFFD7D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00080"/>
      <rgbColor rgb="FF7D6608"/>
      <rgbColor rgb="FF800080"/>
      <rgbColor rgb="FF008080"/>
      <rgbColor rgb="FFFFD7D7"/>
      <rgbColor rgb="FF808080"/>
      <rgbColor rgb="FF9999FF"/>
      <rgbColor rgb="FF993366"/>
      <rgbColor rgb="FFF2F2F2"/>
      <rgbColor rgb="FFDDEE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99CCFF"/>
      <rgbColor rgb="FFFCE4D6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843C0C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4BF44B7-D684-49C7-95D4-A413165F3769}">
  <we:reference id="wa200009404" version="1.0.0.8" store="en-US" storeType="OMEX"/>
  <we:alternateReferences>
    <we:reference id="wa200009404" version="1.0.0.8" store="wa200009404" storeType="OMEX"/>
  </we:alternateReferences>
  <we:properties>
    <we:property name="claude.fileId" value="&quot;74713c3d-f9e3-4601-a311-06bfa8431f38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showGridLines="0" tabSelected="1" zoomScale="143" zoomScaleNormal="143" workbookViewId="0">
      <pane ySplit="7" topLeftCell="A8" activePane="bottomLeft" state="frozen"/>
      <selection pane="bottomLeft" activeCell="F24" sqref="F24"/>
    </sheetView>
  </sheetViews>
  <sheetFormatPr defaultColWidth="8.6640625" defaultRowHeight="14.4" x14ac:dyDescent="0.3"/>
  <cols>
    <col min="1" max="1" width="15" bestFit="1" customWidth="1"/>
    <col min="2" max="2" width="18" customWidth="1"/>
    <col min="3" max="4" width="14" customWidth="1"/>
    <col min="5" max="5" width="14.33203125" bestFit="1" customWidth="1"/>
    <col min="6" max="7" width="14" customWidth="1"/>
    <col min="8" max="8" width="14.77734375" customWidth="1"/>
    <col min="9" max="9" width="17.109375" bestFit="1" customWidth="1"/>
    <col min="10" max="10" width="15.88671875" customWidth="1"/>
    <col min="11" max="11" width="9.33203125" bestFit="1" customWidth="1"/>
    <col min="12" max="12" width="16" customWidth="1"/>
    <col min="13" max="13" width="14" customWidth="1"/>
    <col min="14" max="14" width="1.77734375" customWidth="1"/>
  </cols>
  <sheetData>
    <row r="1" spans="1:13" ht="36" customHeight="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3">
      <c r="A2" s="48" t="s">
        <v>1</v>
      </c>
      <c r="B2" s="48"/>
      <c r="C2" s="48"/>
      <c r="D2" s="48"/>
      <c r="E2" s="46">
        <f ca="1">TODAY()</f>
        <v>46125</v>
      </c>
      <c r="F2" s="46"/>
      <c r="G2" s="46"/>
      <c r="H2" s="46"/>
      <c r="I2" s="46"/>
      <c r="J2" s="46"/>
      <c r="K2" s="46"/>
      <c r="L2" s="46"/>
      <c r="M2" s="46"/>
    </row>
    <row r="3" spans="1:13" ht="18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21.75" customHeight="1" x14ac:dyDescent="0.3">
      <c r="A4" s="50" t="s">
        <v>2</v>
      </c>
      <c r="B4" s="51">
        <f>SUMIF(M8:M500,"&lt;&gt;Collected",L8:L500)</f>
        <v>4386500</v>
      </c>
      <c r="C4" s="52" t="s">
        <v>3</v>
      </c>
      <c r="D4" s="53">
        <f ca="1">SUMIF(K8:K500,"0-30 Days",L8:L500)</f>
        <v>3571000</v>
      </c>
      <c r="E4" s="54" t="s">
        <v>4</v>
      </c>
      <c r="F4" s="55">
        <f ca="1">SUMIF(K8:K500,"31-60 Days",L8:L500)</f>
        <v>705500</v>
      </c>
      <c r="G4" s="56" t="s">
        <v>5</v>
      </c>
      <c r="H4" s="57">
        <f ca="1">SUMIF(K8:K500,"61-90 Days",L8:L500)</f>
        <v>95000</v>
      </c>
      <c r="I4" s="58" t="s">
        <v>6</v>
      </c>
      <c r="J4" s="59">
        <f ca="1">SUMIF(K8:K500,"90+ Days",L8:L500)</f>
        <v>15000</v>
      </c>
      <c r="K4" s="60" t="s">
        <v>7</v>
      </c>
      <c r="L4" s="61">
        <f>SUMIF(M8:M500,"Collected",L8:L500)</f>
        <v>0</v>
      </c>
    </row>
    <row r="5" spans="1:13" ht="21.75" customHeigh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3" ht="6" customHeight="1" x14ac:dyDescent="0.3"/>
    <row r="7" spans="1:13" ht="30" customHeight="1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" t="s">
        <v>13</v>
      </c>
      <c r="G7" s="1" t="s">
        <v>14</v>
      </c>
      <c r="H7" s="1" t="s">
        <v>15</v>
      </c>
      <c r="I7" s="1" t="s">
        <v>16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ht="18" customHeight="1" x14ac:dyDescent="0.3">
      <c r="A8" s="2" t="s">
        <v>21</v>
      </c>
      <c r="B8" s="2" t="s">
        <v>22</v>
      </c>
      <c r="C8" s="3">
        <v>46107</v>
      </c>
      <c r="D8" s="3">
        <v>46137</v>
      </c>
      <c r="E8" s="4">
        <v>85000</v>
      </c>
      <c r="F8" s="4">
        <v>0</v>
      </c>
      <c r="G8" s="5">
        <f ca="1">IF(D8="","",MAX(0,TODAY()-D8))</f>
        <v>0</v>
      </c>
      <c r="H8" s="6" t="str">
        <f ca="1">IF(M8="Collected","Collected",IF(G8&lt;=30,"0-30 Days",IF(G8&lt;=60,"31-60 Days",IF(G8&lt;=90,"61-90 Days","90+ Days"))))</f>
        <v>0-30 Days</v>
      </c>
      <c r="I8" s="7" t="s">
        <v>23</v>
      </c>
      <c r="J8" s="8" t="str">
        <f ca="1">IF(M8="Collected","—",IF(G8&gt;90,"HIGH RISK",IF(AND(G8&gt;60,I8="C"),"HIGH RISK",IF(G8&gt;60,"MEDIUM",IF(G8&gt;30,"LOW-MEDIUM","LOW")))))</f>
        <v>LOW</v>
      </c>
      <c r="K8" s="6" t="str">
        <f t="shared" ref="K8:K16" ca="1" si="0">H8</f>
        <v>0-30 Days</v>
      </c>
      <c r="L8" s="9">
        <f>IF(M8="Collected",0,E8-F8)</f>
        <v>85000</v>
      </c>
      <c r="M8" s="7" t="s">
        <v>24</v>
      </c>
    </row>
    <row r="9" spans="1:13" ht="18" customHeight="1" x14ac:dyDescent="0.3">
      <c r="A9" s="10" t="s">
        <v>25</v>
      </c>
      <c r="B9" s="10" t="s">
        <v>26</v>
      </c>
      <c r="C9" s="11">
        <v>46077</v>
      </c>
      <c r="D9" s="11">
        <v>46107</v>
      </c>
      <c r="E9" s="12">
        <v>120000</v>
      </c>
      <c r="F9" s="12">
        <v>0</v>
      </c>
      <c r="G9" s="13">
        <f ca="1">IF(D9="","",MAX(0,TODAY()-D9))</f>
        <v>18</v>
      </c>
      <c r="H9" s="14" t="str">
        <f t="shared" ref="H9:H19" ca="1" si="1">IF(M9="Collected","Collected",IF(G9&lt;=30,"0-30 Days",IF(G9&lt;=60,"31-60 Days",IF(G9&lt;=90,"61-90 Days","90+ Days"))))</f>
        <v>0-30 Days</v>
      </c>
      <c r="I9" s="15" t="s">
        <v>23</v>
      </c>
      <c r="J9" s="8" t="str">
        <f t="shared" ref="J9:J19" ca="1" si="2">IF(M9="Collected","Collected",IF(G9&gt;90,"HIGH RISK",IF(AND(G9&gt;60,I9="C"),"HIGH RISK",IF(G9&gt;60,"MEDIUM",IF(G9&gt;30,"LOW-MEDIUM","LOW")))))</f>
        <v>LOW</v>
      </c>
      <c r="K9" s="14" t="str">
        <f t="shared" ca="1" si="0"/>
        <v>0-30 Days</v>
      </c>
      <c r="L9" s="16">
        <f>IF(M9="Collected",0,E9-F9)</f>
        <v>120000</v>
      </c>
      <c r="M9" s="15" t="s">
        <v>24</v>
      </c>
    </row>
    <row r="10" spans="1:13" ht="18" customHeight="1" x14ac:dyDescent="0.3">
      <c r="A10" s="2" t="s">
        <v>27</v>
      </c>
      <c r="B10" s="2" t="s">
        <v>28</v>
      </c>
      <c r="C10" s="3">
        <v>46050</v>
      </c>
      <c r="D10" s="3">
        <v>46080</v>
      </c>
      <c r="E10" s="4">
        <v>47500</v>
      </c>
      <c r="F10" s="4">
        <v>20000</v>
      </c>
      <c r="G10" s="5">
        <f ca="1">IF(D10="","",MAX(0,TODAY()-D10))</f>
        <v>45</v>
      </c>
      <c r="H10" s="6" t="str">
        <f t="shared" ca="1" si="1"/>
        <v>31-60 Days</v>
      </c>
      <c r="I10" s="7" t="s">
        <v>29</v>
      </c>
      <c r="J10" s="8" t="str">
        <f t="shared" ca="1" si="2"/>
        <v>LOW-MEDIUM</v>
      </c>
      <c r="K10" s="6" t="str">
        <f t="shared" ca="1" si="0"/>
        <v>31-60 Days</v>
      </c>
      <c r="L10" s="9">
        <f t="shared" ref="L10:L18" si="3">IF(M10="Collected",0,E10-F10)</f>
        <v>27500</v>
      </c>
      <c r="M10" s="7" t="s">
        <v>24</v>
      </c>
    </row>
    <row r="11" spans="1:13" ht="18" customHeight="1" x14ac:dyDescent="0.3">
      <c r="A11" s="10" t="s">
        <v>30</v>
      </c>
      <c r="B11" s="10" t="s">
        <v>31</v>
      </c>
      <c r="C11" s="11">
        <v>46022</v>
      </c>
      <c r="D11" s="11">
        <v>46052</v>
      </c>
      <c r="E11" s="12">
        <v>95000</v>
      </c>
      <c r="F11" s="12">
        <v>0</v>
      </c>
      <c r="G11" s="13">
        <f t="shared" ref="G11:G19" ca="1" si="4">IF(D11="","",MAX(0,TODAY()-D11))</f>
        <v>73</v>
      </c>
      <c r="H11" s="14" t="str">
        <f t="shared" ca="1" si="1"/>
        <v>61-90 Days</v>
      </c>
      <c r="I11" s="15" t="s">
        <v>29</v>
      </c>
      <c r="J11" s="8" t="str">
        <f t="shared" ca="1" si="2"/>
        <v>MEDIUM</v>
      </c>
      <c r="K11" s="14" t="str">
        <f t="shared" ca="1" si="0"/>
        <v>61-90 Days</v>
      </c>
      <c r="L11" s="16">
        <f t="shared" si="3"/>
        <v>95000</v>
      </c>
      <c r="M11" s="15" t="s">
        <v>24</v>
      </c>
    </row>
    <row r="12" spans="1:13" ht="18" customHeight="1" x14ac:dyDescent="0.3">
      <c r="A12" s="2" t="s">
        <v>32</v>
      </c>
      <c r="B12" s="2" t="s">
        <v>33</v>
      </c>
      <c r="C12" s="3">
        <v>46112</v>
      </c>
      <c r="D12" s="3">
        <v>46142</v>
      </c>
      <c r="E12" s="4">
        <v>32000</v>
      </c>
      <c r="F12" s="4">
        <v>32000</v>
      </c>
      <c r="G12" s="5">
        <f t="shared" ca="1" si="4"/>
        <v>0</v>
      </c>
      <c r="H12" s="6" t="str">
        <f t="shared" si="1"/>
        <v>Collected</v>
      </c>
      <c r="I12" s="7" t="s">
        <v>23</v>
      </c>
      <c r="J12" s="8" t="str">
        <f t="shared" si="2"/>
        <v>Collected</v>
      </c>
      <c r="K12" s="6" t="str">
        <f t="shared" si="0"/>
        <v>Collected</v>
      </c>
      <c r="L12" s="9">
        <f t="shared" si="3"/>
        <v>0</v>
      </c>
      <c r="M12" s="7" t="s">
        <v>7</v>
      </c>
    </row>
    <row r="13" spans="1:13" ht="18" customHeight="1" x14ac:dyDescent="0.3">
      <c r="A13" s="10" t="s">
        <v>34</v>
      </c>
      <c r="B13" s="10" t="s">
        <v>35</v>
      </c>
      <c r="C13" s="11">
        <v>46062</v>
      </c>
      <c r="D13" s="11">
        <v>46092</v>
      </c>
      <c r="E13" s="12">
        <v>68000</v>
      </c>
      <c r="F13" s="12">
        <v>0</v>
      </c>
      <c r="G13" s="13">
        <f t="shared" ca="1" si="4"/>
        <v>33</v>
      </c>
      <c r="H13" s="14" t="str">
        <f t="shared" ca="1" si="1"/>
        <v>31-60 Days</v>
      </c>
      <c r="I13" s="15" t="s">
        <v>36</v>
      </c>
      <c r="J13" s="8" t="str">
        <f t="shared" ca="1" si="2"/>
        <v>LOW-MEDIUM</v>
      </c>
      <c r="K13" s="14" t="str">
        <f t="shared" ca="1" si="0"/>
        <v>31-60 Days</v>
      </c>
      <c r="L13" s="16">
        <f t="shared" si="3"/>
        <v>68000</v>
      </c>
      <c r="M13" s="15" t="s">
        <v>24</v>
      </c>
    </row>
    <row r="14" spans="1:13" ht="18" customHeight="1" x14ac:dyDescent="0.3">
      <c r="A14" s="2" t="s">
        <v>37</v>
      </c>
      <c r="B14" s="2" t="s">
        <v>38</v>
      </c>
      <c r="C14" s="3">
        <v>45992</v>
      </c>
      <c r="D14" s="3">
        <v>46022</v>
      </c>
      <c r="E14" s="4">
        <v>15000</v>
      </c>
      <c r="F14" s="4">
        <v>0</v>
      </c>
      <c r="G14" s="5">
        <f t="shared" ca="1" si="4"/>
        <v>103</v>
      </c>
      <c r="H14" s="6" t="str">
        <f t="shared" ca="1" si="1"/>
        <v>90+ Days</v>
      </c>
      <c r="I14" s="7" t="s">
        <v>36</v>
      </c>
      <c r="J14" s="8" t="str">
        <f t="shared" ca="1" si="2"/>
        <v>HIGH RISK</v>
      </c>
      <c r="K14" s="6" t="str">
        <f t="shared" ca="1" si="0"/>
        <v>90+ Days</v>
      </c>
      <c r="L14" s="9">
        <f t="shared" si="3"/>
        <v>15000</v>
      </c>
      <c r="M14" s="7" t="s">
        <v>24</v>
      </c>
    </row>
    <row r="15" spans="1:13" ht="18" customHeight="1" x14ac:dyDescent="0.3">
      <c r="A15" s="10" t="s">
        <v>39</v>
      </c>
      <c r="B15" s="10" t="s">
        <v>40</v>
      </c>
      <c r="C15" s="11">
        <v>46097</v>
      </c>
      <c r="D15" s="11">
        <v>46127</v>
      </c>
      <c r="E15" s="12">
        <v>54000</v>
      </c>
      <c r="F15" s="12">
        <v>10000</v>
      </c>
      <c r="G15" s="13">
        <f t="shared" ca="1" si="4"/>
        <v>0</v>
      </c>
      <c r="H15" s="14" t="str">
        <f t="shared" ca="1" si="1"/>
        <v>0-30 Days</v>
      </c>
      <c r="I15" s="15" t="s">
        <v>29</v>
      </c>
      <c r="J15" s="8" t="str">
        <f t="shared" ca="1" si="2"/>
        <v>LOW</v>
      </c>
      <c r="K15" s="14" t="str">
        <f t="shared" ca="1" si="0"/>
        <v>0-30 Days</v>
      </c>
      <c r="L15" s="16">
        <f t="shared" si="3"/>
        <v>44000</v>
      </c>
      <c r="M15" s="15" t="s">
        <v>24</v>
      </c>
    </row>
    <row r="16" spans="1:13" ht="18" customHeight="1" x14ac:dyDescent="0.3">
      <c r="A16" s="2" t="s">
        <v>41</v>
      </c>
      <c r="B16" s="2" t="s">
        <v>42</v>
      </c>
      <c r="C16" s="3">
        <v>46042</v>
      </c>
      <c r="D16" s="3">
        <v>46072</v>
      </c>
      <c r="E16" s="4">
        <v>110000</v>
      </c>
      <c r="F16" s="4">
        <v>0</v>
      </c>
      <c r="G16" s="5">
        <f t="shared" ca="1" si="4"/>
        <v>53</v>
      </c>
      <c r="H16" s="6" t="str">
        <f t="shared" ca="1" si="1"/>
        <v>31-60 Days</v>
      </c>
      <c r="I16" s="7" t="s">
        <v>23</v>
      </c>
      <c r="J16" s="8" t="str">
        <f t="shared" ca="1" si="2"/>
        <v>LOW-MEDIUM</v>
      </c>
      <c r="K16" s="6" t="str">
        <f t="shared" ca="1" si="0"/>
        <v>31-60 Days</v>
      </c>
      <c r="L16" s="9">
        <f t="shared" si="3"/>
        <v>110000</v>
      </c>
      <c r="M16" s="7" t="s">
        <v>24</v>
      </c>
    </row>
    <row r="17" spans="1:13" ht="18" customHeight="1" x14ac:dyDescent="0.3">
      <c r="A17" s="10" t="s">
        <v>43</v>
      </c>
      <c r="B17" s="10" t="s">
        <v>44</v>
      </c>
      <c r="C17" s="11">
        <v>46117</v>
      </c>
      <c r="D17" s="11">
        <v>46147</v>
      </c>
      <c r="E17" s="12">
        <v>22000</v>
      </c>
      <c r="F17" s="12">
        <v>22000</v>
      </c>
      <c r="G17" s="13">
        <f t="shared" ca="1" si="4"/>
        <v>0</v>
      </c>
      <c r="H17" s="14" t="str">
        <f t="shared" si="1"/>
        <v>Collected</v>
      </c>
      <c r="I17" s="15" t="s">
        <v>23</v>
      </c>
      <c r="J17" s="8" t="str">
        <f t="shared" si="2"/>
        <v>Collected</v>
      </c>
      <c r="K17" s="14" t="str">
        <f>H17</f>
        <v>Collected</v>
      </c>
      <c r="L17" s="16">
        <f t="shared" si="3"/>
        <v>0</v>
      </c>
      <c r="M17" s="15" t="s">
        <v>7</v>
      </c>
    </row>
    <row r="18" spans="1:13" x14ac:dyDescent="0.3">
      <c r="A18" s="42" t="s">
        <v>57</v>
      </c>
      <c r="B18" s="42" t="s">
        <v>58</v>
      </c>
      <c r="C18" s="11">
        <v>46055</v>
      </c>
      <c r="D18" s="11">
        <v>46087</v>
      </c>
      <c r="E18" s="43">
        <v>555000</v>
      </c>
      <c r="F18" s="43">
        <v>55000</v>
      </c>
      <c r="G18" s="13">
        <f t="shared" ca="1" si="4"/>
        <v>38</v>
      </c>
      <c r="H18" s="14" t="str">
        <f t="shared" ca="1" si="1"/>
        <v>31-60 Days</v>
      </c>
      <c r="I18" s="44" t="s">
        <v>36</v>
      </c>
      <c r="J18" s="8" t="str">
        <f t="shared" ca="1" si="2"/>
        <v>LOW-MEDIUM</v>
      </c>
      <c r="K18" s="14" t="str">
        <f ca="1">H18</f>
        <v>31-60 Days</v>
      </c>
      <c r="L18" s="16">
        <f>IF(M18="Collected",0,E18-F18)</f>
        <v>500000</v>
      </c>
      <c r="M18" s="44" t="s">
        <v>24</v>
      </c>
    </row>
    <row r="19" spans="1:13" x14ac:dyDescent="0.3">
      <c r="A19" s="64" t="s">
        <v>59</v>
      </c>
      <c r="B19" s="64" t="s">
        <v>60</v>
      </c>
      <c r="C19" s="11">
        <v>46072</v>
      </c>
      <c r="D19" s="11">
        <v>46111</v>
      </c>
      <c r="E19" s="65">
        <v>3400000</v>
      </c>
      <c r="F19" s="65">
        <v>78000</v>
      </c>
      <c r="G19" s="13">
        <f ca="1">IF(D19="","",MAX(0,TODAY()-D19))</f>
        <v>14</v>
      </c>
      <c r="H19" s="14" t="str">
        <f ca="1">IF(M19="Collected","Collected",IF(G19&lt;=30,"0-30 Days",IF(G19&lt;=60,"31-60 Days",IF(G19&lt;=90,"61-90 Days","90+ Days"))))</f>
        <v>0-30 Days</v>
      </c>
      <c r="I19" s="67" t="s">
        <v>29</v>
      </c>
      <c r="J19" s="8" t="str">
        <f ca="1">IF(M19="Collected","Collected",IF(G19&gt;90,"HIGH RISK",IF(AND(G19&gt;60,I19="C"),"HIGH RISK",IF(G19&gt;60,"MEDIUM",IF(G19&gt;30,"LOW-MEDIUM","LOW")))))</f>
        <v>LOW</v>
      </c>
      <c r="K19" s="14" t="str">
        <f ca="1">H19</f>
        <v>0-30 Days</v>
      </c>
      <c r="L19" s="16">
        <f>IF(M19="Collected",0,E19-F19)</f>
        <v>3322000</v>
      </c>
      <c r="M19" s="67" t="s">
        <v>24</v>
      </c>
    </row>
    <row r="24" spans="1:13" x14ac:dyDescent="0.3">
      <c r="E24" s="66"/>
    </row>
    <row r="25" spans="1:13" x14ac:dyDescent="0.3">
      <c r="E25" s="41"/>
    </row>
  </sheetData>
  <mergeCells count="16">
    <mergeCell ref="E2:M2"/>
    <mergeCell ref="A1:M1"/>
    <mergeCell ref="A2:D2"/>
    <mergeCell ref="A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A8:I500">
    <cfRule type="expression" dxfId="9" priority="11">
      <formula>AND($G8&gt;90,$M8&lt;&gt;"Collected")</formula>
    </cfRule>
  </conditionalFormatting>
  <conditionalFormatting sqref="H8:H500">
    <cfRule type="expression" dxfId="8" priority="7">
      <formula>H8="90+ Days"</formula>
    </cfRule>
    <cfRule type="expression" dxfId="7" priority="8">
      <formula>H8="61-90 Days"</formula>
    </cfRule>
    <cfRule type="expression" dxfId="6" priority="9">
      <formula>H8="31-60 Days"</formula>
    </cfRule>
    <cfRule type="expression" dxfId="5" priority="10">
      <formula>H8="0-30 Days"</formula>
    </cfRule>
  </conditionalFormatting>
  <conditionalFormatting sqref="J8:J500">
    <cfRule type="expression" dxfId="4" priority="2">
      <formula>J8="HIGH RISK"</formula>
    </cfRule>
    <cfRule type="expression" dxfId="3" priority="3">
      <formula>J8="MEDIUM"</formula>
    </cfRule>
    <cfRule type="expression" dxfId="2" priority="4">
      <formula>J8="LOW-MEDIUM"</formula>
    </cfRule>
    <cfRule type="expression" dxfId="1" priority="5">
      <formula>J8="LOW"</formula>
    </cfRule>
  </conditionalFormatting>
  <conditionalFormatting sqref="J8:M500">
    <cfRule type="expression" dxfId="0" priority="6">
      <formula>AND($G8&gt;90,$M8&lt;&gt;"Collected")</formula>
    </cfRule>
  </conditionalFormatting>
  <dataValidations count="2">
    <dataValidation type="list" allowBlank="1" sqref="M8:M500" xr:uid="{00000000-0002-0000-0000-000000000000}">
      <formula1>"Pending,Collected,Disputed,Write-Off"</formula1>
      <formula2>0</formula2>
    </dataValidation>
    <dataValidation type="list" allowBlank="1" sqref="I8:I500" xr:uid="{00000000-0002-0000-0000-000001000000}">
      <formula1>"A,B,C"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showGridLines="0" zoomScale="156" zoomScaleNormal="100" workbookViewId="0">
      <selection activeCell="C10" sqref="C10"/>
    </sheetView>
  </sheetViews>
  <sheetFormatPr defaultColWidth="8.6640625" defaultRowHeight="14.4" x14ac:dyDescent="0.3"/>
  <cols>
    <col min="1" max="1" width="21.88671875" bestFit="1" customWidth="1"/>
    <col min="2" max="2" width="14" customWidth="1"/>
    <col min="3" max="3" width="18" customWidth="1"/>
    <col min="4" max="4" width="14" customWidth="1"/>
    <col min="5" max="5" width="16" customWidth="1"/>
  </cols>
  <sheetData>
    <row r="1" spans="1:5" ht="31.5" customHeight="1" x14ac:dyDescent="0.3">
      <c r="A1" s="62" t="s">
        <v>45</v>
      </c>
      <c r="B1" s="62"/>
      <c r="C1" s="62"/>
      <c r="D1" s="62"/>
      <c r="E1" s="62"/>
    </row>
    <row r="2" spans="1:5" x14ac:dyDescent="0.3">
      <c r="A2" s="63" t="str">
        <f ca="1">"As of: "&amp;TEXT('AR Aging Tracker'!E2,"DD-MMM-YYYY")</f>
        <v>As of: 13-Apr-2026</v>
      </c>
      <c r="B2" s="63"/>
      <c r="C2" s="63"/>
      <c r="D2" s="63"/>
      <c r="E2" s="63"/>
    </row>
    <row r="4" spans="1:5" ht="24" customHeight="1" x14ac:dyDescent="0.3">
      <c r="A4" s="17" t="s">
        <v>15</v>
      </c>
      <c r="B4" s="17" t="s">
        <v>46</v>
      </c>
      <c r="C4" s="17" t="s">
        <v>19</v>
      </c>
      <c r="D4" s="17" t="s">
        <v>47</v>
      </c>
      <c r="E4" s="17" t="s">
        <v>48</v>
      </c>
    </row>
    <row r="5" spans="1:5" ht="21.75" customHeight="1" x14ac:dyDescent="0.3">
      <c r="A5" s="18" t="s">
        <v>3</v>
      </c>
      <c r="B5" s="19">
        <f ca="1">COUNTIF('AR Aging Tracker'!H8:H500,"0-30 Days")</f>
        <v>4</v>
      </c>
      <c r="C5" s="20">
        <f ca="1">SUMIF('AR Aging Tracker'!H8:H500,"0-30 Days",'AR Aging Tracker'!L8:L500)</f>
        <v>3571000</v>
      </c>
      <c r="D5" s="21">
        <f ca="1">IFERROR(C5/C10,0)</f>
        <v>0.81408868118089595</v>
      </c>
      <c r="E5" s="18" t="s">
        <v>49</v>
      </c>
    </row>
    <row r="6" spans="1:5" ht="21.75" customHeight="1" x14ac:dyDescent="0.3">
      <c r="A6" s="22" t="s">
        <v>4</v>
      </c>
      <c r="B6" s="23">
        <f ca="1">COUNTIF('AR Aging Tracker'!H8:H500,"31-60 Days")</f>
        <v>4</v>
      </c>
      <c r="C6" s="24">
        <f ca="1">SUMIF('AR Aging Tracker'!H8:H500,"31-60 Days",'AR Aging Tracker'!L8:L500)</f>
        <v>705500</v>
      </c>
      <c r="D6" s="25">
        <f ca="1">IFERROR(C6/C10,0)</f>
        <v>0.16083437820585889</v>
      </c>
      <c r="E6" s="22" t="s">
        <v>50</v>
      </c>
    </row>
    <row r="7" spans="1:5" ht="21.75" customHeight="1" x14ac:dyDescent="0.3">
      <c r="A7" s="26" t="s">
        <v>5</v>
      </c>
      <c r="B7" s="27">
        <f ca="1">COUNTIF('AR Aging Tracker'!H8:H500,"61-90 Days")</f>
        <v>1</v>
      </c>
      <c r="C7" s="28">
        <f ca="1">SUMIF('AR Aging Tracker'!H8:H500,"61-90 Days",'AR Aging Tracker'!L8:L500)</f>
        <v>95000</v>
      </c>
      <c r="D7" s="29">
        <f ca="1">IFERROR(C7/C10,0)</f>
        <v>2.1657357802348114E-2</v>
      </c>
      <c r="E7" s="26" t="s">
        <v>51</v>
      </c>
    </row>
    <row r="8" spans="1:5" ht="21.75" customHeight="1" x14ac:dyDescent="0.3">
      <c r="A8" s="30" t="s">
        <v>52</v>
      </c>
      <c r="B8" s="31">
        <f ca="1">COUNTIF('AR Aging Tracker'!H8:H500,"90+ Days")</f>
        <v>1</v>
      </c>
      <c r="C8" s="32">
        <f ca="1">SUMIF('AR Aging Tracker'!H8:H500,"90+ Days",'AR Aging Tracker'!L8:L500)</f>
        <v>15000</v>
      </c>
      <c r="D8" s="33">
        <f ca="1">IFERROR(C8/C10,0)</f>
        <v>3.4195828108970704E-3</v>
      </c>
      <c r="E8" s="30" t="s">
        <v>53</v>
      </c>
    </row>
    <row r="9" spans="1:5" ht="21.75" customHeight="1" x14ac:dyDescent="0.3">
      <c r="A9" s="34" t="s">
        <v>7</v>
      </c>
      <c r="B9" s="35">
        <f>COUNTIF('AR Aging Tracker'!M8:M500,"Collected")</f>
        <v>2</v>
      </c>
      <c r="C9" s="36">
        <f>SUMIF('AR Aging Tracker'!M8:M500,"Collected",'AR Aging Tracker'!E8:E500)</f>
        <v>54000</v>
      </c>
      <c r="D9" s="37" t="str">
        <f>""</f>
        <v/>
      </c>
      <c r="E9" s="34" t="s">
        <v>54</v>
      </c>
    </row>
    <row r="10" spans="1:5" ht="24" customHeight="1" x14ac:dyDescent="0.3">
      <c r="A10" s="38" t="s">
        <v>55</v>
      </c>
      <c r="B10" s="39">
        <f>COUNTA('AR Aging Tracker'!A8:A500)</f>
        <v>12</v>
      </c>
      <c r="C10" s="40">
        <f>SUMIF('AR Aging Tracker'!M8:M500,"&lt;&gt;Collected",'AR Aging Tracker'!L8:L500)</f>
        <v>4386500</v>
      </c>
      <c r="D10" s="45">
        <f ca="1">SUM(D5:D9)</f>
        <v>1</v>
      </c>
      <c r="E10" s="38" t="s">
        <v>56</v>
      </c>
    </row>
    <row r="12" spans="1:5" ht="21.75" customHeight="1" x14ac:dyDescent="0.3"/>
    <row r="13" spans="1:5" ht="18" customHeight="1" x14ac:dyDescent="0.3"/>
    <row r="14" spans="1:5" ht="18" customHeight="1" x14ac:dyDescent="0.3"/>
    <row r="15" spans="1:5" ht="18" customHeight="1" x14ac:dyDescent="0.3"/>
    <row r="16" spans="1:5" ht="18" customHeight="1" x14ac:dyDescent="0.3"/>
    <row r="17" ht="18" customHeight="1" x14ac:dyDescent="0.3"/>
    <row r="18" ht="18" customHeight="1" x14ac:dyDescent="0.3"/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AR Aging Tracker</vt:lpstr>
      <vt:lpstr>Aging Summary</vt:lpstr>
      <vt:lpstr>'AR Aging Tracker'!Print_Titles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dc:description/>
  <cp:lastModifiedBy>Anjani Kumar Mishra</cp:lastModifiedBy>
  <cp:revision>0</cp:revision>
  <dcterms:created xsi:type="dcterms:W3CDTF">2026-04-10T17:58:38Z</dcterms:created>
  <dcterms:modified xsi:type="dcterms:W3CDTF">2026-04-13T14:31:23Z</dcterms:modified>
  <dc:language>en-US</dc:language>
</cp:coreProperties>
</file>