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5550" windowWidth="28800" windowHeight="124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1" l="1"/>
  <c r="N75" i="1" l="1"/>
  <c r="M77" i="1"/>
  <c r="M76" i="1"/>
  <c r="M75" i="1"/>
  <c r="L4" i="1"/>
  <c r="L27" i="1"/>
  <c r="L32" i="1"/>
  <c r="K77" i="1"/>
  <c r="H74" i="1" l="1"/>
  <c r="H75" i="1" s="1"/>
  <c r="C76" i="1" l="1"/>
  <c r="M62" i="1" l="1"/>
  <c r="M63" i="1" s="1"/>
  <c r="M64" i="1" s="1"/>
  <c r="M65" i="1" s="1"/>
  <c r="M66" i="1" s="1"/>
  <c r="M67" i="1" s="1"/>
  <c r="N61" i="1"/>
  <c r="I65" i="1" l="1"/>
  <c r="I66" i="1" s="1"/>
  <c r="I67" i="1" s="1"/>
  <c r="I61" i="1"/>
  <c r="I62" i="1" s="1"/>
  <c r="I63" i="1" s="1"/>
  <c r="F66" i="1" l="1"/>
  <c r="F67" i="1" s="1"/>
  <c r="G67" i="1" s="1"/>
  <c r="E65" i="1"/>
  <c r="G65" i="1" s="1"/>
  <c r="G66" i="1" l="1"/>
  <c r="G68" i="1"/>
  <c r="G69" i="1" s="1"/>
  <c r="G59" i="1"/>
  <c r="F60" i="1"/>
  <c r="D60" i="1"/>
  <c r="D61" i="1" s="1"/>
  <c r="P56" i="1"/>
  <c r="M51" i="1"/>
  <c r="M52" i="1" s="1"/>
  <c r="N50" i="1"/>
  <c r="J50" i="1"/>
  <c r="I51" i="1"/>
  <c r="I52" i="1" s="1"/>
  <c r="D50" i="1"/>
  <c r="E50" i="1" s="1"/>
  <c r="E49" i="1"/>
  <c r="O40" i="1"/>
  <c r="O39" i="1"/>
  <c r="N40" i="1"/>
  <c r="N41" i="1" s="1"/>
  <c r="O41" i="1" s="1"/>
  <c r="O42" i="1" s="1"/>
  <c r="J39" i="1"/>
  <c r="I40" i="1"/>
  <c r="J40" i="1" s="1"/>
  <c r="G60" i="1" l="1"/>
  <c r="J51" i="1"/>
  <c r="E60" i="1"/>
  <c r="I53" i="1"/>
  <c r="J52" i="1"/>
  <c r="F61" i="1"/>
  <c r="I41" i="1"/>
  <c r="N52" i="1"/>
  <c r="M53" i="1"/>
  <c r="N51" i="1"/>
  <c r="D51" i="1"/>
  <c r="E39" i="1"/>
  <c r="D40" i="1"/>
  <c r="D41" i="1" s="1"/>
  <c r="K33" i="1"/>
  <c r="M27" i="1"/>
  <c r="K27" i="1"/>
  <c r="J27" i="1"/>
  <c r="G25" i="1"/>
  <c r="F26" i="1"/>
  <c r="F27" i="1" s="1"/>
  <c r="F28" i="1" s="1"/>
  <c r="F35" i="1" s="1"/>
  <c r="E29" i="1"/>
  <c r="E26" i="1"/>
  <c r="G26" i="1" s="1"/>
  <c r="D25" i="1"/>
  <c r="D26" i="1" s="1"/>
  <c r="J12" i="1"/>
  <c r="K12" i="1" s="1"/>
  <c r="I13" i="1"/>
  <c r="J13" i="1" s="1"/>
  <c r="E40" i="1" l="1"/>
  <c r="K13" i="1"/>
  <c r="I14" i="1"/>
  <c r="I15" i="1" s="1"/>
  <c r="I16" i="1" s="1"/>
  <c r="I17" i="1" s="1"/>
  <c r="J17" i="1" s="1"/>
  <c r="K34" i="1"/>
  <c r="L34" i="1" s="1"/>
  <c r="L33" i="1"/>
  <c r="D42" i="1"/>
  <c r="E42" i="1" s="1"/>
  <c r="E41" i="1"/>
  <c r="D27" i="1"/>
  <c r="E27" i="1"/>
  <c r="G27" i="1" s="1"/>
  <c r="J14" i="1"/>
  <c r="K14" i="1" s="1"/>
  <c r="I42" i="1"/>
  <c r="J41" i="1"/>
  <c r="J15" i="1"/>
  <c r="F62" i="1"/>
  <c r="G62" i="1" s="1"/>
  <c r="G61" i="1"/>
  <c r="J16" i="1"/>
  <c r="I54" i="1"/>
  <c r="J53" i="1"/>
  <c r="N53" i="1"/>
  <c r="M54" i="1"/>
  <c r="D52" i="1"/>
  <c r="E51" i="1"/>
  <c r="E18" i="1"/>
  <c r="E17" i="1"/>
  <c r="E19" i="1" s="1"/>
  <c r="E14" i="1"/>
  <c r="E13" i="1"/>
  <c r="E12" i="1"/>
  <c r="E15" i="1" s="1"/>
  <c r="K8" i="1"/>
  <c r="J8" i="1"/>
  <c r="K5" i="1"/>
  <c r="I4" i="1"/>
  <c r="J6" i="1" s="1"/>
  <c r="E5" i="1"/>
  <c r="E4" i="1"/>
  <c r="E6" i="1"/>
  <c r="J7" i="1" l="1"/>
  <c r="L6" i="1"/>
  <c r="L8" i="1"/>
  <c r="L35" i="1"/>
  <c r="E43" i="1"/>
  <c r="E20" i="1"/>
  <c r="E21" i="1" s="1"/>
  <c r="K15" i="1"/>
  <c r="K16" i="1" s="1"/>
  <c r="K17" i="1" s="1"/>
  <c r="J5" i="1"/>
  <c r="L5" i="1" s="1"/>
  <c r="I5" i="1"/>
  <c r="D32" i="1"/>
  <c r="D33" i="1" s="1"/>
  <c r="D35" i="1" s="1"/>
  <c r="E35" i="1" s="1"/>
  <c r="G35" i="1" s="1"/>
  <c r="G36" i="1" s="1"/>
  <c r="E28" i="1"/>
  <c r="G28" i="1" s="1"/>
  <c r="E7" i="1"/>
  <c r="E8" i="1" s="1"/>
  <c r="I43" i="1"/>
  <c r="J42" i="1"/>
  <c r="C44" i="1"/>
  <c r="I55" i="1"/>
  <c r="J55" i="1" s="1"/>
  <c r="J56" i="1" s="1"/>
  <c r="J54" i="1"/>
  <c r="J57" i="1" s="1"/>
  <c r="N54" i="1"/>
  <c r="N57" i="1" s="1"/>
  <c r="M55" i="1"/>
  <c r="N55" i="1" s="1"/>
  <c r="N56" i="1" s="1"/>
  <c r="D53" i="1"/>
  <c r="E52" i="1"/>
  <c r="L9" i="1" l="1"/>
  <c r="E44" i="1"/>
  <c r="I44" i="1"/>
  <c r="J43" i="1"/>
  <c r="D54" i="1"/>
  <c r="E54" i="1" s="1"/>
  <c r="E53" i="1"/>
  <c r="I45" i="1" l="1"/>
  <c r="J44" i="1"/>
  <c r="E55" i="1"/>
  <c r="I46" i="1" l="1"/>
  <c r="J46" i="1" s="1"/>
  <c r="J45" i="1"/>
  <c r="J47" i="1" l="1"/>
</calcChain>
</file>

<file path=xl/sharedStrings.xml><?xml version="1.0" encoding="utf-8"?>
<sst xmlns="http://schemas.openxmlformats.org/spreadsheetml/2006/main" count="127" uniqueCount="58">
  <si>
    <t>Year</t>
  </si>
  <si>
    <t>Cash Flow</t>
  </si>
  <si>
    <t>PV Factor @10%</t>
  </si>
  <si>
    <t>PV</t>
  </si>
  <si>
    <t>FV = PV/PV @10%</t>
  </si>
  <si>
    <t>NPV =</t>
  </si>
  <si>
    <t>Dep</t>
  </si>
  <si>
    <t>Tax</t>
  </si>
  <si>
    <t>PV @15</t>
  </si>
  <si>
    <t xml:space="preserve"> </t>
  </si>
  <si>
    <t>last year - no Dep</t>
  </si>
  <si>
    <t>Sales =</t>
  </si>
  <si>
    <t>Bal Allowance</t>
  </si>
  <si>
    <t>Prob</t>
  </si>
  <si>
    <t xml:space="preserve">Year </t>
  </si>
  <si>
    <t>EV</t>
  </si>
  <si>
    <t>CF</t>
  </si>
  <si>
    <t>Total PV=</t>
  </si>
  <si>
    <t>EV of Both Year+ Cost</t>
  </si>
  <si>
    <t>Cost =</t>
  </si>
  <si>
    <t>PV @10%</t>
  </si>
  <si>
    <t>Comulative PV</t>
  </si>
  <si>
    <t>Discounted PP =</t>
  </si>
  <si>
    <t>4+21152/40,000</t>
  </si>
  <si>
    <t>4.5 years</t>
  </si>
  <si>
    <t>Dep Sum</t>
  </si>
  <si>
    <t>Avil Amt</t>
  </si>
  <si>
    <t>Sold for</t>
  </si>
  <si>
    <t>BA =</t>
  </si>
  <si>
    <t>Project</t>
  </si>
  <si>
    <t>P</t>
  </si>
  <si>
    <t>Q</t>
  </si>
  <si>
    <t>R</t>
  </si>
  <si>
    <t>S</t>
  </si>
  <si>
    <t>NPV</t>
  </si>
  <si>
    <t>Cost</t>
  </si>
  <si>
    <t>PI</t>
  </si>
  <si>
    <t>Rank</t>
  </si>
  <si>
    <t xml:space="preserve">Salv +   </t>
  </si>
  <si>
    <t>PV @20.96</t>
  </si>
  <si>
    <t>real to nom</t>
  </si>
  <si>
    <t>EAC = NPV/AF</t>
  </si>
  <si>
    <t>AF=</t>
  </si>
  <si>
    <t>Delayed Annuity</t>
  </si>
  <si>
    <t>Delyed Perpatuity</t>
  </si>
  <si>
    <t>PV @15%</t>
  </si>
  <si>
    <t>PV@10%</t>
  </si>
  <si>
    <t>IRR =</t>
  </si>
  <si>
    <t>IRR</t>
  </si>
  <si>
    <t>WC</t>
  </si>
  <si>
    <t>TCF</t>
  </si>
  <si>
    <t>Miller Orr Model=</t>
  </si>
  <si>
    <t>PV @7%</t>
  </si>
  <si>
    <t>AF</t>
  </si>
  <si>
    <t>Repayment of Loan</t>
  </si>
  <si>
    <t xml:space="preserve">Int </t>
  </si>
  <si>
    <t>DF @8%</t>
  </si>
  <si>
    <t xml:space="preserve">Payment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</si>
</sst>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&quot;₹&quot;\ #,##0.00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164" fontId="0" fillId="0" borderId="0" xfId="0" applyNumberFormat="1"/>
    <xf numFmtId="3" fontId="0" fillId="0" borderId="0" xfId="0" applyNumberFormat="1"/>
    <xf numFmtId="4" fontId="0" fillId="0" borderId="0" xfId="0" applyNumberFormat="1"/>
    <xf numFmtId="2" fontId="0" fillId="0" borderId="0" xfId="0" applyNumberFormat="1"/>
    <xf numFmtId="0" fontId="1" fillId="2" borderId="0" xfId="1"/>
    <xf numFmtId="0" fontId="2" fillId="3" borderId="0" xfId="2"/>
    <xf numFmtId="3" fontId="2" fillId="3" borderId="0" xfId="2" applyNumberFormat="1"/>
    <xf numFmtId="164" fontId="2" fillId="3" borderId="0" xfId="2" applyNumberFormat="1"/>
    <xf numFmtId="0" fontId="3" fillId="0" borderId="0" xfId="3"/>
    <xf numFmtId="9" fontId="0" fillId="0" borderId="0" xfId="0" applyNumberFormat="1"/>
    <xf numFmtId="165" fontId="0" fillId="0" borderId="0" xfId="0" applyNumberFormat="1"/>
    <xf numFmtId="10" fontId="0" fillId="0" borderId="0" xfId="0" applyNumberFormat="1"/>
    <xf numFmtId="0" fontId="0" fillId="0" borderId="1" xfId="0" applyBorder="1"/>
    <xf numFmtId="166" fontId="0" fillId="0" borderId="0" xfId="0" applyNumberFormat="1"/>
  </cellXfs>
  <cellStyles count="4">
    <cellStyle name="Bad" xfId="2" builtinId="27"/>
    <cellStyle name="Good" xfId="1" builtinId="26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V@10%25" TargetMode="External"/><Relationship Id="rId1" Type="http://schemas.openxmlformats.org/officeDocument/2006/relationships/hyperlink" Target="mailto:PV@10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81"/>
  <sheetViews>
    <sheetView tabSelected="1" topLeftCell="A60" zoomScale="142" zoomScaleNormal="142" workbookViewId="0">
      <selection activeCell="I80" sqref="I80"/>
    </sheetView>
  </sheetViews>
  <sheetFormatPr defaultRowHeight="15" x14ac:dyDescent="0.25"/>
  <cols>
    <col min="3" max="3" width="10.28515625" bestFit="1" customWidth="1"/>
    <col min="4" max="4" width="16.28515625" customWidth="1"/>
    <col min="9" max="9" width="21.28515625" customWidth="1"/>
    <col min="10" max="10" width="10.7109375" bestFit="1" customWidth="1"/>
  </cols>
  <sheetData>
    <row r="3" spans="2:12" x14ac:dyDescent="0.25">
      <c r="B3" t="s">
        <v>0</v>
      </c>
      <c r="C3" t="s">
        <v>1</v>
      </c>
      <c r="D3" t="s">
        <v>2</v>
      </c>
      <c r="E3" t="s">
        <v>3</v>
      </c>
      <c r="G3" t="s">
        <v>0</v>
      </c>
      <c r="H3" t="s">
        <v>1</v>
      </c>
      <c r="I3" t="s">
        <v>6</v>
      </c>
      <c r="J3" t="s">
        <v>7</v>
      </c>
      <c r="K3" t="s">
        <v>8</v>
      </c>
      <c r="L3" t="s">
        <v>3</v>
      </c>
    </row>
    <row r="4" spans="2:12" x14ac:dyDescent="0.25">
      <c r="B4">
        <v>0</v>
      </c>
      <c r="C4">
        <v>-125000</v>
      </c>
      <c r="D4">
        <v>1</v>
      </c>
      <c r="E4">
        <f>C4*D4</f>
        <v>-125000</v>
      </c>
      <c r="G4">
        <v>0</v>
      </c>
      <c r="H4">
        <v>-2000000</v>
      </c>
      <c r="I4">
        <f>H4*25%</f>
        <v>-500000</v>
      </c>
      <c r="K4">
        <v>1</v>
      </c>
      <c r="L4">
        <f>K4*J4</f>
        <v>0</v>
      </c>
    </row>
    <row r="5" spans="2:12" x14ac:dyDescent="0.25">
      <c r="B5">
        <v>1</v>
      </c>
      <c r="C5">
        <v>-4000</v>
      </c>
      <c r="D5">
        <v>1</v>
      </c>
      <c r="E5">
        <f>C5*D5</f>
        <v>-4000</v>
      </c>
      <c r="G5">
        <v>1</v>
      </c>
      <c r="I5">
        <f>I4*75%</f>
        <v>-375000</v>
      </c>
      <c r="J5">
        <f>I4*30%</f>
        <v>-150000</v>
      </c>
      <c r="K5" s="1">
        <f>K4/1.15</f>
        <v>0.86956521739130443</v>
      </c>
      <c r="L5">
        <f>K5*J5</f>
        <v>-130434.78260869566</v>
      </c>
    </row>
    <row r="6" spans="2:12" x14ac:dyDescent="0.25">
      <c r="B6">
        <v>2</v>
      </c>
      <c r="C6">
        <v>4000</v>
      </c>
      <c r="D6">
        <v>0.82599999999999996</v>
      </c>
      <c r="E6">
        <f>C6*D6</f>
        <v>3304</v>
      </c>
      <c r="G6">
        <v>2</v>
      </c>
      <c r="H6">
        <v>350000</v>
      </c>
      <c r="I6" t="s">
        <v>10</v>
      </c>
      <c r="J6">
        <f>H4-I4</f>
        <v>-1500000</v>
      </c>
      <c r="L6">
        <f>K6*J6</f>
        <v>0</v>
      </c>
    </row>
    <row r="7" spans="2:12" x14ac:dyDescent="0.25">
      <c r="D7" t="s">
        <v>5</v>
      </c>
      <c r="E7">
        <f>SUM(E4:E6)</f>
        <v>-125696</v>
      </c>
      <c r="H7" t="s">
        <v>11</v>
      </c>
      <c r="I7">
        <v>350000</v>
      </c>
      <c r="J7">
        <f>J6+I7</f>
        <v>-1150000</v>
      </c>
      <c r="K7" t="s">
        <v>12</v>
      </c>
      <c r="L7" t="s">
        <v>9</v>
      </c>
    </row>
    <row r="8" spans="2:12" x14ac:dyDescent="0.25">
      <c r="D8" t="s">
        <v>4</v>
      </c>
      <c r="E8">
        <f>E7/D6</f>
        <v>-152174.33414043585</v>
      </c>
      <c r="J8">
        <f>1150000*30%</f>
        <v>345000</v>
      </c>
      <c r="K8" s="1">
        <f>K4/1.15</f>
        <v>0.86956521739130443</v>
      </c>
      <c r="L8">
        <f>K8*J8</f>
        <v>300000.00000000006</v>
      </c>
    </row>
    <row r="9" spans="2:12" x14ac:dyDescent="0.25">
      <c r="L9">
        <f>L8-L5</f>
        <v>430434.78260869574</v>
      </c>
    </row>
    <row r="11" spans="2:12" x14ac:dyDescent="0.25">
      <c r="B11" t="s">
        <v>14</v>
      </c>
      <c r="C11" t="s">
        <v>1</v>
      </c>
      <c r="D11" t="s">
        <v>13</v>
      </c>
      <c r="E11" t="s">
        <v>15</v>
      </c>
      <c r="G11" t="s">
        <v>0</v>
      </c>
      <c r="H11" t="s">
        <v>16</v>
      </c>
      <c r="I11" t="s">
        <v>20</v>
      </c>
      <c r="J11" t="s">
        <v>3</v>
      </c>
      <c r="K11" t="s">
        <v>21</v>
      </c>
    </row>
    <row r="12" spans="2:12" x14ac:dyDescent="0.25">
      <c r="B12">
        <v>1</v>
      </c>
      <c r="C12" s="2">
        <v>16000</v>
      </c>
      <c r="D12" s="3">
        <v>0.15</v>
      </c>
      <c r="E12" s="2">
        <f>D12*C12</f>
        <v>2400</v>
      </c>
      <c r="G12">
        <v>0</v>
      </c>
      <c r="H12" s="2">
        <v>-100000</v>
      </c>
      <c r="I12">
        <v>1</v>
      </c>
      <c r="J12">
        <f>I12*H12</f>
        <v>-100000</v>
      </c>
      <c r="K12">
        <f>J12</f>
        <v>-100000</v>
      </c>
    </row>
    <row r="13" spans="2:12" x14ac:dyDescent="0.25">
      <c r="C13" s="2">
        <v>12000</v>
      </c>
      <c r="D13" s="4">
        <v>0.6</v>
      </c>
      <c r="E13" s="2">
        <f t="shared" ref="E13:E14" si="0">D13*C13</f>
        <v>7200</v>
      </c>
      <c r="G13">
        <v>1</v>
      </c>
      <c r="H13" s="2">
        <v>40000</v>
      </c>
      <c r="I13">
        <f>I12/1.1</f>
        <v>0.90909090909090906</v>
      </c>
      <c r="J13">
        <f t="shared" ref="J13:J17" si="1">I13*H13</f>
        <v>36363.63636363636</v>
      </c>
      <c r="K13">
        <f>K12+J13</f>
        <v>-63636.36363636364</v>
      </c>
    </row>
    <row r="14" spans="2:12" x14ac:dyDescent="0.25">
      <c r="C14" s="2">
        <v>-4000</v>
      </c>
      <c r="D14">
        <v>0.25</v>
      </c>
      <c r="E14" s="2">
        <f t="shared" si="0"/>
        <v>-1000</v>
      </c>
      <c r="G14">
        <v>2</v>
      </c>
      <c r="H14" s="2">
        <v>20000</v>
      </c>
      <c r="I14">
        <f t="shared" ref="I14:I17" si="2">I13/1.1</f>
        <v>0.82644628099173545</v>
      </c>
      <c r="J14">
        <f t="shared" si="1"/>
        <v>16528.92561983471</v>
      </c>
      <c r="K14">
        <f>K13+J14</f>
        <v>-47107.438016528933</v>
      </c>
    </row>
    <row r="15" spans="2:12" x14ac:dyDescent="0.25">
      <c r="B15" s="2"/>
      <c r="E15" s="2">
        <f>SUM(E12:E14)</f>
        <v>8600</v>
      </c>
      <c r="G15">
        <v>3</v>
      </c>
      <c r="H15" s="2">
        <v>30000</v>
      </c>
      <c r="I15">
        <f t="shared" si="2"/>
        <v>0.75131480090157765</v>
      </c>
      <c r="J15">
        <f t="shared" si="1"/>
        <v>22539.444027047328</v>
      </c>
      <c r="K15">
        <f>K14+J15</f>
        <v>-24567.993989481605</v>
      </c>
    </row>
    <row r="16" spans="2:12" x14ac:dyDescent="0.25">
      <c r="B16" t="s">
        <v>0</v>
      </c>
      <c r="C16" t="s">
        <v>16</v>
      </c>
      <c r="D16" t="s">
        <v>13</v>
      </c>
      <c r="E16" t="s">
        <v>15</v>
      </c>
      <c r="G16">
        <v>4</v>
      </c>
      <c r="H16" s="2">
        <v>5000</v>
      </c>
      <c r="I16">
        <f t="shared" si="2"/>
        <v>0.68301345536507052</v>
      </c>
      <c r="J16">
        <f t="shared" si="1"/>
        <v>3415.0672768253526</v>
      </c>
      <c r="K16">
        <f>K15+J16</f>
        <v>-21152.926712656252</v>
      </c>
    </row>
    <row r="17" spans="2:13" x14ac:dyDescent="0.25">
      <c r="B17">
        <v>2</v>
      </c>
      <c r="C17" s="2">
        <v>20000</v>
      </c>
      <c r="D17">
        <v>0.75</v>
      </c>
      <c r="E17">
        <f>D17*C17</f>
        <v>15000</v>
      </c>
      <c r="G17" s="5">
        <v>5</v>
      </c>
      <c r="H17" s="2">
        <v>40000</v>
      </c>
      <c r="I17">
        <f t="shared" si="2"/>
        <v>0.62092132305915493</v>
      </c>
      <c r="J17">
        <f t="shared" si="1"/>
        <v>24836.852922366197</v>
      </c>
      <c r="K17" s="5">
        <f>K16+J17</f>
        <v>3683.9262097099454</v>
      </c>
    </row>
    <row r="18" spans="2:13" x14ac:dyDescent="0.25">
      <c r="C18" s="2">
        <v>-2000</v>
      </c>
      <c r="D18">
        <v>0.25</v>
      </c>
      <c r="E18">
        <f t="shared" ref="E18" si="3">D18*C18</f>
        <v>-500</v>
      </c>
    </row>
    <row r="19" spans="2:13" x14ac:dyDescent="0.25">
      <c r="E19">
        <f>SUM(E17:E18)</f>
        <v>14500</v>
      </c>
      <c r="I19" t="s">
        <v>22</v>
      </c>
      <c r="J19" t="s">
        <v>23</v>
      </c>
    </row>
    <row r="20" spans="2:13" x14ac:dyDescent="0.25">
      <c r="B20" t="s">
        <v>19</v>
      </c>
      <c r="C20" s="2">
        <v>12000</v>
      </c>
      <c r="D20" t="s">
        <v>17</v>
      </c>
      <c r="E20" s="2">
        <f>SUM(E15,E19)</f>
        <v>23100</v>
      </c>
      <c r="J20" t="s">
        <v>24</v>
      </c>
    </row>
    <row r="21" spans="2:13" x14ac:dyDescent="0.25">
      <c r="D21" t="s">
        <v>18</v>
      </c>
      <c r="E21" s="2">
        <f>E20-C20</f>
        <v>11100</v>
      </c>
    </row>
    <row r="24" spans="2:13" x14ac:dyDescent="0.25">
      <c r="B24" t="s">
        <v>0</v>
      </c>
      <c r="C24" t="s">
        <v>16</v>
      </c>
      <c r="D24" t="s">
        <v>6</v>
      </c>
      <c r="E24" t="s">
        <v>7</v>
      </c>
      <c r="F24" t="s">
        <v>20</v>
      </c>
      <c r="G24" t="s">
        <v>3</v>
      </c>
      <c r="I24" t="s">
        <v>29</v>
      </c>
      <c r="J24" t="s">
        <v>30</v>
      </c>
      <c r="K24" t="s">
        <v>31</v>
      </c>
      <c r="L24" t="s">
        <v>32</v>
      </c>
      <c r="M24" t="s">
        <v>33</v>
      </c>
    </row>
    <row r="25" spans="2:13" x14ac:dyDescent="0.25">
      <c r="B25">
        <v>0</v>
      </c>
      <c r="C25" s="2">
        <v>-90000</v>
      </c>
      <c r="D25">
        <f>C25*25%</f>
        <v>-22500</v>
      </c>
      <c r="F25">
        <v>1</v>
      </c>
      <c r="G25">
        <f>F25*E25</f>
        <v>0</v>
      </c>
      <c r="I25" t="s">
        <v>34</v>
      </c>
      <c r="J25">
        <v>60</v>
      </c>
      <c r="K25">
        <v>40</v>
      </c>
      <c r="L25">
        <v>80</v>
      </c>
      <c r="M25">
        <v>80</v>
      </c>
    </row>
    <row r="26" spans="2:13" x14ac:dyDescent="0.25">
      <c r="B26">
        <v>1</v>
      </c>
      <c r="C26" s="2">
        <v>30000</v>
      </c>
      <c r="D26">
        <f>D25*75%</f>
        <v>-16875</v>
      </c>
      <c r="E26">
        <f>D25*30%</f>
        <v>-6750</v>
      </c>
      <c r="F26">
        <f>F25/1.1</f>
        <v>0.90909090909090906</v>
      </c>
      <c r="G26">
        <f t="shared" ref="G26:G28" si="4">F26*E26</f>
        <v>-6136.363636363636</v>
      </c>
      <c r="I26" t="s">
        <v>35</v>
      </c>
      <c r="J26">
        <v>20</v>
      </c>
      <c r="K26">
        <v>10</v>
      </c>
      <c r="L26">
        <v>30</v>
      </c>
      <c r="M26">
        <v>40</v>
      </c>
    </row>
    <row r="27" spans="2:13" x14ac:dyDescent="0.25">
      <c r="B27">
        <v>2</v>
      </c>
      <c r="C27" s="2">
        <v>30000</v>
      </c>
      <c r="D27">
        <f>D26*75%</f>
        <v>-12656.25</v>
      </c>
      <c r="E27">
        <f>D26*30%</f>
        <v>-5062.5</v>
      </c>
      <c r="F27">
        <f t="shared" ref="F27:F28" si="5">F26/1.1</f>
        <v>0.82644628099173545</v>
      </c>
      <c r="G27">
        <f t="shared" si="4"/>
        <v>-4183.8842975206608</v>
      </c>
      <c r="I27" t="s">
        <v>36</v>
      </c>
      <c r="J27" s="1">
        <f>J25/J26</f>
        <v>3</v>
      </c>
      <c r="K27" s="1">
        <f t="shared" ref="K27:M27" si="6">K25/K26</f>
        <v>4</v>
      </c>
      <c r="L27" s="1">
        <f t="shared" si="6"/>
        <v>2.6666666666666665</v>
      </c>
      <c r="M27" s="1">
        <f t="shared" si="6"/>
        <v>2</v>
      </c>
    </row>
    <row r="28" spans="2:13" x14ac:dyDescent="0.25">
      <c r="B28">
        <v>3</v>
      </c>
      <c r="C28" s="2">
        <v>30000</v>
      </c>
      <c r="E28">
        <f>D27*30%</f>
        <v>-3796.875</v>
      </c>
      <c r="F28">
        <f t="shared" si="5"/>
        <v>0.75131480090157765</v>
      </c>
      <c r="G28">
        <f t="shared" si="4"/>
        <v>-2852.6483846731776</v>
      </c>
      <c r="I28" t="s">
        <v>37</v>
      </c>
      <c r="J28">
        <v>2</v>
      </c>
      <c r="K28">
        <v>1</v>
      </c>
      <c r="L28">
        <v>3</v>
      </c>
      <c r="M28">
        <v>4</v>
      </c>
    </row>
    <row r="29" spans="2:13" x14ac:dyDescent="0.25">
      <c r="B29">
        <v>4</v>
      </c>
      <c r="C29" s="2">
        <v>30000</v>
      </c>
      <c r="E29">
        <f>D28*30%</f>
        <v>0</v>
      </c>
    </row>
    <row r="30" spans="2:13" x14ac:dyDescent="0.25">
      <c r="B30">
        <v>5</v>
      </c>
      <c r="C30" s="2">
        <v>30000</v>
      </c>
      <c r="K30" t="s">
        <v>40</v>
      </c>
    </row>
    <row r="31" spans="2:13" x14ac:dyDescent="0.25">
      <c r="I31" t="s">
        <v>0</v>
      </c>
      <c r="J31" t="s">
        <v>16</v>
      </c>
      <c r="K31" t="s">
        <v>39</v>
      </c>
      <c r="L31" t="s">
        <v>3</v>
      </c>
    </row>
    <row r="32" spans="2:13" x14ac:dyDescent="0.25">
      <c r="C32" t="s">
        <v>25</v>
      </c>
      <c r="D32">
        <f>D27+D26+D25</f>
        <v>-52031.25</v>
      </c>
      <c r="I32">
        <v>0</v>
      </c>
      <c r="J32" s="2">
        <v>-18000</v>
      </c>
      <c r="K32">
        <v>1</v>
      </c>
      <c r="L32">
        <f>K32*J32</f>
        <v>-18000</v>
      </c>
    </row>
    <row r="33" spans="2:15" x14ac:dyDescent="0.25">
      <c r="C33" t="s">
        <v>26</v>
      </c>
      <c r="D33" s="2">
        <f>C25-D32</f>
        <v>-37968.75</v>
      </c>
      <c r="I33">
        <v>1</v>
      </c>
      <c r="J33" s="2">
        <v>9000</v>
      </c>
      <c r="K33">
        <f>K32/1.2096</f>
        <v>0.82671957671957674</v>
      </c>
      <c r="L33">
        <f t="shared" ref="L33:L34" si="7">K33*J33</f>
        <v>7440.4761904761908</v>
      </c>
    </row>
    <row r="34" spans="2:15" x14ac:dyDescent="0.25">
      <c r="C34" t="s">
        <v>27</v>
      </c>
      <c r="D34" s="2">
        <v>25000</v>
      </c>
      <c r="I34">
        <v>2</v>
      </c>
      <c r="J34" s="2">
        <v>14900</v>
      </c>
      <c r="K34">
        <f t="shared" ref="K34" si="8">K33/1.2096</f>
        <v>0.68346525853139606</v>
      </c>
      <c r="L34">
        <f t="shared" si="7"/>
        <v>10183.632352117802</v>
      </c>
    </row>
    <row r="35" spans="2:15" x14ac:dyDescent="0.25">
      <c r="C35" t="s">
        <v>28</v>
      </c>
      <c r="D35" s="2">
        <f>D33+D34</f>
        <v>-12968.75</v>
      </c>
      <c r="E35">
        <f>D35*30%</f>
        <v>-3890.625</v>
      </c>
      <c r="F35">
        <f>F28/1.1</f>
        <v>0.68301345536507052</v>
      </c>
      <c r="G35">
        <f>F35*E35</f>
        <v>-2657.3492247797276</v>
      </c>
      <c r="J35" t="s">
        <v>38</v>
      </c>
      <c r="K35" s="5" t="s">
        <v>34</v>
      </c>
      <c r="L35" s="5">
        <f>L34+L33+L32</f>
        <v>-375.89145740600725</v>
      </c>
    </row>
    <row r="36" spans="2:15" x14ac:dyDescent="0.25">
      <c r="G36">
        <f>G35+G28+G27+G26</f>
        <v>-15830.245543337202</v>
      </c>
      <c r="L36" t="s">
        <v>9</v>
      </c>
    </row>
    <row r="38" spans="2:15" x14ac:dyDescent="0.25">
      <c r="B38" t="s">
        <v>0</v>
      </c>
      <c r="C38" t="s">
        <v>16</v>
      </c>
      <c r="D38" t="s">
        <v>20</v>
      </c>
      <c r="E38" t="s">
        <v>3</v>
      </c>
      <c r="G38" t="s">
        <v>0</v>
      </c>
      <c r="H38" t="s">
        <v>16</v>
      </c>
      <c r="I38" t="s">
        <v>20</v>
      </c>
      <c r="J38" t="s">
        <v>3</v>
      </c>
      <c r="L38" t="s">
        <v>0</v>
      </c>
      <c r="M38" t="s">
        <v>16</v>
      </c>
      <c r="N38" t="s">
        <v>20</v>
      </c>
      <c r="O38" t="s">
        <v>3</v>
      </c>
    </row>
    <row r="39" spans="2:15" x14ac:dyDescent="0.25">
      <c r="B39">
        <v>0</v>
      </c>
      <c r="C39" s="2">
        <v>-10000</v>
      </c>
      <c r="D39">
        <v>1</v>
      </c>
      <c r="E39">
        <f>D39*C39</f>
        <v>-10000</v>
      </c>
      <c r="G39">
        <v>0</v>
      </c>
      <c r="I39">
        <v>1</v>
      </c>
      <c r="J39">
        <f>I39*H39</f>
        <v>0</v>
      </c>
      <c r="L39">
        <v>1</v>
      </c>
      <c r="N39">
        <v>1</v>
      </c>
      <c r="O39">
        <f>N39*M39</f>
        <v>0</v>
      </c>
    </row>
    <row r="40" spans="2:15" x14ac:dyDescent="0.25">
      <c r="B40">
        <v>1</v>
      </c>
      <c r="C40" s="2">
        <v>-3000</v>
      </c>
      <c r="D40">
        <f>D39/1.1</f>
        <v>0.90909090909090906</v>
      </c>
      <c r="E40">
        <f t="shared" ref="E40:E42" si="9">D40*C40</f>
        <v>-2727.272727272727</v>
      </c>
      <c r="G40">
        <v>1</v>
      </c>
      <c r="I40">
        <f>I39/1.1</f>
        <v>0.90909090909090906</v>
      </c>
      <c r="J40">
        <f t="shared" ref="J40:J46" si="10">I40*H40</f>
        <v>0</v>
      </c>
      <c r="L40">
        <v>2</v>
      </c>
      <c r="N40" s="1">
        <f>N39/1.1</f>
        <v>0.90909090909090906</v>
      </c>
      <c r="O40">
        <f t="shared" ref="O40:O41" si="11">N40*M40</f>
        <v>0</v>
      </c>
    </row>
    <row r="41" spans="2:15" x14ac:dyDescent="0.25">
      <c r="B41">
        <v>2</v>
      </c>
      <c r="C41" s="2">
        <v>-5000</v>
      </c>
      <c r="D41">
        <f t="shared" ref="D41:D42" si="12">D40/1.1</f>
        <v>0.82644628099173545</v>
      </c>
      <c r="E41">
        <f t="shared" si="9"/>
        <v>-4132.2314049586776</v>
      </c>
      <c r="G41">
        <v>2</v>
      </c>
      <c r="I41">
        <f t="shared" ref="I41:I46" si="13">I40/1.1</f>
        <v>0.82644628099173545</v>
      </c>
      <c r="J41">
        <f t="shared" si="10"/>
        <v>0</v>
      </c>
      <c r="L41">
        <v>3</v>
      </c>
      <c r="M41">
        <v>90000</v>
      </c>
      <c r="N41" s="1">
        <f t="shared" ref="N41" si="14">N40/1.1</f>
        <v>0.82644628099173545</v>
      </c>
      <c r="O41">
        <f t="shared" si="11"/>
        <v>74380.165289256183</v>
      </c>
    </row>
    <row r="42" spans="2:15" x14ac:dyDescent="0.25">
      <c r="B42">
        <v>3</v>
      </c>
      <c r="C42" s="2">
        <v>-5000</v>
      </c>
      <c r="D42">
        <f t="shared" si="12"/>
        <v>0.75131480090157765</v>
      </c>
      <c r="E42">
        <f t="shared" si="9"/>
        <v>-3756.5740045078883</v>
      </c>
      <c r="G42">
        <v>3</v>
      </c>
      <c r="H42">
        <v>7000</v>
      </c>
      <c r="I42">
        <f t="shared" si="13"/>
        <v>0.75131480090157765</v>
      </c>
      <c r="J42">
        <f t="shared" si="10"/>
        <v>5259.2036063110436</v>
      </c>
      <c r="M42" t="s">
        <v>44</v>
      </c>
      <c r="O42" s="5">
        <f>O41/10%</f>
        <v>743801.65289256175</v>
      </c>
    </row>
    <row r="43" spans="2:15" x14ac:dyDescent="0.25">
      <c r="D43" t="s">
        <v>34</v>
      </c>
      <c r="E43">
        <f>E42+E41+E40+E39</f>
        <v>-20616.078136739292</v>
      </c>
      <c r="G43">
        <v>4</v>
      </c>
      <c r="H43">
        <v>7000</v>
      </c>
      <c r="I43">
        <f t="shared" si="13"/>
        <v>0.68301345536507052</v>
      </c>
      <c r="J43">
        <f t="shared" si="10"/>
        <v>4781.0941875554936</v>
      </c>
    </row>
    <row r="44" spans="2:15" x14ac:dyDescent="0.25">
      <c r="B44" t="s">
        <v>42</v>
      </c>
      <c r="C44">
        <f>SUM(D40:D42)</f>
        <v>2.4868519909842224</v>
      </c>
      <c r="D44" t="s">
        <v>41</v>
      </c>
      <c r="E44">
        <f>E43/C44</f>
        <v>-8290.0302114803617</v>
      </c>
      <c r="G44">
        <v>5</v>
      </c>
      <c r="H44">
        <v>7000</v>
      </c>
      <c r="I44">
        <f t="shared" si="13"/>
        <v>0.62092132305915493</v>
      </c>
      <c r="J44">
        <f t="shared" si="10"/>
        <v>4346.4492614140845</v>
      </c>
      <c r="O44" t="s">
        <v>9</v>
      </c>
    </row>
    <row r="45" spans="2:15" x14ac:dyDescent="0.25">
      <c r="G45">
        <v>6</v>
      </c>
      <c r="H45">
        <v>7000</v>
      </c>
      <c r="I45">
        <f t="shared" si="13"/>
        <v>0.56447393005377711</v>
      </c>
      <c r="J45">
        <f t="shared" si="10"/>
        <v>3951.3175103764397</v>
      </c>
    </row>
    <row r="46" spans="2:15" x14ac:dyDescent="0.25">
      <c r="G46">
        <v>7</v>
      </c>
      <c r="H46">
        <v>7000</v>
      </c>
      <c r="I46">
        <f t="shared" si="13"/>
        <v>0.51315811823070645</v>
      </c>
      <c r="J46">
        <f t="shared" si="10"/>
        <v>3592.1068276149454</v>
      </c>
    </row>
    <row r="47" spans="2:15" x14ac:dyDescent="0.25">
      <c r="I47" t="s">
        <v>43</v>
      </c>
      <c r="J47" s="5">
        <f>J46+J45+J44+J43+J42</f>
        <v>21930.171393272005</v>
      </c>
    </row>
    <row r="48" spans="2:15" x14ac:dyDescent="0.25">
      <c r="B48" s="6" t="s">
        <v>0</v>
      </c>
      <c r="C48" s="6" t="s">
        <v>16</v>
      </c>
      <c r="D48" s="6" t="s">
        <v>20</v>
      </c>
      <c r="E48" s="6" t="s">
        <v>3</v>
      </c>
    </row>
    <row r="49" spans="2:16" x14ac:dyDescent="0.25">
      <c r="B49" s="6">
        <v>0</v>
      </c>
      <c r="C49" s="7">
        <v>-40000</v>
      </c>
      <c r="D49" s="6">
        <v>1</v>
      </c>
      <c r="E49" s="6">
        <f t="shared" ref="E49:E54" si="15">D49*C49</f>
        <v>-40000</v>
      </c>
      <c r="G49" t="s">
        <v>0</v>
      </c>
      <c r="H49" t="s">
        <v>16</v>
      </c>
      <c r="I49" s="9" t="s">
        <v>46</v>
      </c>
      <c r="J49" t="s">
        <v>3</v>
      </c>
      <c r="K49" t="s">
        <v>0</v>
      </c>
      <c r="L49" t="s">
        <v>16</v>
      </c>
      <c r="M49" s="9" t="s">
        <v>45</v>
      </c>
      <c r="N49" t="s">
        <v>3</v>
      </c>
      <c r="O49" t="s">
        <v>0</v>
      </c>
      <c r="P49" t="s">
        <v>16</v>
      </c>
    </row>
    <row r="50" spans="2:16" x14ac:dyDescent="0.25">
      <c r="B50" s="6">
        <v>1</v>
      </c>
      <c r="C50" s="7">
        <v>12000</v>
      </c>
      <c r="D50" s="8">
        <f>D49/1.1</f>
        <v>0.90909090909090906</v>
      </c>
      <c r="E50" s="6">
        <f t="shared" si="15"/>
        <v>10909.090909090908</v>
      </c>
      <c r="G50">
        <v>0</v>
      </c>
      <c r="H50" s="2">
        <v>-70000</v>
      </c>
      <c r="I50">
        <v>1</v>
      </c>
      <c r="J50">
        <f>I50*H50</f>
        <v>-70000</v>
      </c>
      <c r="K50">
        <v>0</v>
      </c>
      <c r="L50" s="2">
        <v>-70000</v>
      </c>
      <c r="M50">
        <v>1</v>
      </c>
      <c r="N50">
        <f t="shared" ref="N50:N55" si="16">M50*L50</f>
        <v>-70000</v>
      </c>
      <c r="O50">
        <v>0</v>
      </c>
      <c r="P50" s="2">
        <v>-70000</v>
      </c>
    </row>
    <row r="51" spans="2:16" x14ac:dyDescent="0.25">
      <c r="B51" s="6">
        <v>2</v>
      </c>
      <c r="C51" s="7">
        <v>12000</v>
      </c>
      <c r="D51" s="8">
        <f t="shared" ref="D51:D54" si="17">D50/1.1</f>
        <v>0.82644628099173545</v>
      </c>
      <c r="E51" s="6">
        <f t="shared" si="15"/>
        <v>9917.355371900825</v>
      </c>
      <c r="G51">
        <v>1</v>
      </c>
      <c r="H51" s="2">
        <v>20000</v>
      </c>
      <c r="I51">
        <f>I50/1.1</f>
        <v>0.90909090909090906</v>
      </c>
      <c r="J51">
        <f t="shared" ref="J51:J55" si="18">I51*H51</f>
        <v>18181.81818181818</v>
      </c>
      <c r="K51">
        <v>1</v>
      </c>
      <c r="L51" s="2">
        <v>20000</v>
      </c>
      <c r="M51">
        <f>M50/1.15</f>
        <v>0.86956521739130443</v>
      </c>
      <c r="N51">
        <f t="shared" si="16"/>
        <v>17391.304347826088</v>
      </c>
      <c r="O51">
        <v>1</v>
      </c>
      <c r="P51" s="2">
        <v>20000</v>
      </c>
    </row>
    <row r="52" spans="2:16" x14ac:dyDescent="0.25">
      <c r="B52" s="6">
        <v>3</v>
      </c>
      <c r="C52" s="7">
        <v>12000</v>
      </c>
      <c r="D52" s="8">
        <f t="shared" si="17"/>
        <v>0.75131480090157765</v>
      </c>
      <c r="E52" s="6">
        <f t="shared" si="15"/>
        <v>9015.7776108189319</v>
      </c>
      <c r="G52">
        <v>2</v>
      </c>
      <c r="H52" s="2">
        <v>20000</v>
      </c>
      <c r="I52">
        <f t="shared" ref="I52:I55" si="19">I51/1.1</f>
        <v>0.82644628099173545</v>
      </c>
      <c r="J52">
        <f t="shared" si="18"/>
        <v>16528.92561983471</v>
      </c>
      <c r="K52">
        <v>2</v>
      </c>
      <c r="L52" s="2">
        <v>20000</v>
      </c>
      <c r="M52">
        <f t="shared" ref="M52:M55" si="20">M51/1.1</f>
        <v>0.79051383399209485</v>
      </c>
      <c r="N52">
        <f t="shared" si="16"/>
        <v>15810.276679841896</v>
      </c>
      <c r="O52">
        <v>2</v>
      </c>
      <c r="P52" s="2">
        <v>20000</v>
      </c>
    </row>
    <row r="53" spans="2:16" x14ac:dyDescent="0.25">
      <c r="B53" s="6">
        <v>4</v>
      </c>
      <c r="C53" s="7">
        <v>12000</v>
      </c>
      <c r="D53" s="8">
        <f t="shared" si="17"/>
        <v>0.68301345536507052</v>
      </c>
      <c r="E53" s="6">
        <f t="shared" si="15"/>
        <v>8196.1614643808462</v>
      </c>
      <c r="G53">
        <v>3</v>
      </c>
      <c r="H53" s="2">
        <v>20000</v>
      </c>
      <c r="I53">
        <f t="shared" si="19"/>
        <v>0.75131480090157765</v>
      </c>
      <c r="J53">
        <f t="shared" si="18"/>
        <v>15026.296018031553</v>
      </c>
      <c r="K53">
        <v>3</v>
      </c>
      <c r="L53" s="2">
        <v>20000</v>
      </c>
      <c r="M53">
        <f t="shared" si="20"/>
        <v>0.71864893999281343</v>
      </c>
      <c r="N53">
        <f t="shared" si="16"/>
        <v>14372.978799856268</v>
      </c>
      <c r="O53">
        <v>3</v>
      </c>
      <c r="P53" s="2">
        <v>20000</v>
      </c>
    </row>
    <row r="54" spans="2:16" x14ac:dyDescent="0.25">
      <c r="B54" s="6">
        <v>5</v>
      </c>
      <c r="C54" s="7">
        <v>-15000</v>
      </c>
      <c r="D54" s="8">
        <f t="shared" si="17"/>
        <v>0.62092132305915493</v>
      </c>
      <c r="E54" s="6">
        <f t="shared" si="15"/>
        <v>-9313.819845887323</v>
      </c>
      <c r="G54">
        <v>4</v>
      </c>
      <c r="H54" s="2">
        <v>20000</v>
      </c>
      <c r="I54">
        <f t="shared" si="19"/>
        <v>0.68301345536507052</v>
      </c>
      <c r="J54">
        <f t="shared" si="18"/>
        <v>13660.26910730141</v>
      </c>
      <c r="K54">
        <v>4</v>
      </c>
      <c r="L54" s="2">
        <v>20000</v>
      </c>
      <c r="M54">
        <f t="shared" si="20"/>
        <v>0.65331721817528488</v>
      </c>
      <c r="N54">
        <f t="shared" si="16"/>
        <v>13066.344363505697</v>
      </c>
      <c r="O54">
        <v>4</v>
      </c>
      <c r="P54" s="2">
        <v>20000</v>
      </c>
    </row>
    <row r="55" spans="2:16" x14ac:dyDescent="0.25">
      <c r="B55" s="6"/>
      <c r="C55" s="6"/>
      <c r="D55" s="6"/>
      <c r="E55" s="6">
        <f>E54+E53+E52+E51+E50+E49</f>
        <v>-11275.43448969581</v>
      </c>
      <c r="G55">
        <v>5</v>
      </c>
      <c r="H55" s="2">
        <v>20000</v>
      </c>
      <c r="I55">
        <f t="shared" si="19"/>
        <v>0.62092132305915493</v>
      </c>
      <c r="J55">
        <f t="shared" si="18"/>
        <v>12418.426461183099</v>
      </c>
      <c r="K55">
        <v>5</v>
      </c>
      <c r="L55" s="2">
        <v>20000</v>
      </c>
      <c r="M55">
        <f t="shared" si="20"/>
        <v>0.59392474379571347</v>
      </c>
      <c r="N55">
        <f t="shared" si="16"/>
        <v>11878.49487591427</v>
      </c>
      <c r="O55">
        <v>5</v>
      </c>
      <c r="P55" s="2">
        <v>20000</v>
      </c>
    </row>
    <row r="56" spans="2:16" x14ac:dyDescent="0.25">
      <c r="I56" t="s">
        <v>34</v>
      </c>
      <c r="J56">
        <f>SUM(J55,J54,J53,J52,J51,J50)</f>
        <v>5815.7353881689487</v>
      </c>
      <c r="N56">
        <f>SUM(N55,N54,N53,N52,N51,N50)</f>
        <v>2519.3990669442283</v>
      </c>
      <c r="O56" t="s">
        <v>47</v>
      </c>
      <c r="P56" s="10">
        <f>IRR(P50:P55)</f>
        <v>0.1320158833735392</v>
      </c>
    </row>
    <row r="57" spans="2:16" x14ac:dyDescent="0.25">
      <c r="I57" t="s">
        <v>48</v>
      </c>
      <c r="J57" s="10">
        <f>IRR(J50:J55)</f>
        <v>2.910534852140656E-2</v>
      </c>
      <c r="M57" t="s">
        <v>48</v>
      </c>
      <c r="N57" s="10">
        <f>IRR(N50:N55)</f>
        <v>1.2718984683101064E-2</v>
      </c>
    </row>
    <row r="58" spans="2:16" x14ac:dyDescent="0.25">
      <c r="B58" t="s">
        <v>0</v>
      </c>
      <c r="C58" t="s">
        <v>16</v>
      </c>
      <c r="D58" t="s">
        <v>6</v>
      </c>
      <c r="E58" t="s">
        <v>7</v>
      </c>
      <c r="F58" t="s">
        <v>20</v>
      </c>
      <c r="G58" t="s">
        <v>3</v>
      </c>
    </row>
    <row r="59" spans="2:16" x14ac:dyDescent="0.25">
      <c r="B59">
        <v>0</v>
      </c>
      <c r="C59" s="2">
        <v>-1000000</v>
      </c>
      <c r="F59">
        <v>1</v>
      </c>
      <c r="G59">
        <f>F59*E59</f>
        <v>0</v>
      </c>
      <c r="K59" t="s">
        <v>54</v>
      </c>
    </row>
    <row r="60" spans="2:16" x14ac:dyDescent="0.25">
      <c r="B60">
        <v>1</v>
      </c>
      <c r="D60">
        <f>C59*25%</f>
        <v>-250000</v>
      </c>
      <c r="E60">
        <f>D60*30%</f>
        <v>-75000</v>
      </c>
      <c r="F60">
        <f>F59/1.1</f>
        <v>0.90909090909090906</v>
      </c>
      <c r="G60" s="5">
        <f t="shared" ref="G60:G62" si="21">F60*E60</f>
        <v>-68181.818181818177</v>
      </c>
      <c r="I60" t="s">
        <v>51</v>
      </c>
      <c r="K60" t="s">
        <v>0</v>
      </c>
      <c r="L60" t="s">
        <v>16</v>
      </c>
      <c r="M60" t="s">
        <v>52</v>
      </c>
      <c r="N60" t="s">
        <v>3</v>
      </c>
    </row>
    <row r="61" spans="2:16" x14ac:dyDescent="0.25">
      <c r="B61">
        <v>2</v>
      </c>
      <c r="D61">
        <f>D60*75%</f>
        <v>-187500</v>
      </c>
      <c r="F61">
        <f t="shared" ref="F61:F62" si="22">F60/1.1</f>
        <v>0.82644628099173545</v>
      </c>
      <c r="G61">
        <f t="shared" si="21"/>
        <v>0</v>
      </c>
      <c r="I61">
        <f>3/4*50*900000/0.0003</f>
        <v>112500000000.00002</v>
      </c>
      <c r="K61">
        <v>0</v>
      </c>
      <c r="L61" s="2">
        <v>100000</v>
      </c>
      <c r="M61">
        <v>1</v>
      </c>
      <c r="N61">
        <f>M61*L61</f>
        <v>100000</v>
      </c>
    </row>
    <row r="62" spans="2:16" x14ac:dyDescent="0.25">
      <c r="B62">
        <v>3</v>
      </c>
      <c r="F62">
        <f t="shared" si="22"/>
        <v>0.75131480090157765</v>
      </c>
      <c r="G62">
        <f t="shared" si="21"/>
        <v>0</v>
      </c>
      <c r="I62">
        <f>POWER(I61,1/3)</f>
        <v>4827.4469230281493</v>
      </c>
      <c r="K62">
        <v>1</v>
      </c>
      <c r="M62">
        <f>M61/1.07</f>
        <v>0.93457943925233644</v>
      </c>
    </row>
    <row r="63" spans="2:16" x14ac:dyDescent="0.25">
      <c r="I63">
        <f>I62*3</f>
        <v>14482.340769084447</v>
      </c>
      <c r="K63">
        <v>2</v>
      </c>
      <c r="M63">
        <f t="shared" ref="M63:M66" si="23">M62/1.07</f>
        <v>0.87343872827321156</v>
      </c>
    </row>
    <row r="64" spans="2:16" x14ac:dyDescent="0.25">
      <c r="B64" t="s">
        <v>0</v>
      </c>
      <c r="C64" t="s">
        <v>16</v>
      </c>
      <c r="D64" t="s">
        <v>49</v>
      </c>
      <c r="E64" t="s">
        <v>50</v>
      </c>
      <c r="F64" t="s">
        <v>20</v>
      </c>
      <c r="G64" t="s">
        <v>3</v>
      </c>
      <c r="K64">
        <v>3</v>
      </c>
      <c r="M64">
        <f t="shared" si="23"/>
        <v>0.81629787689085187</v>
      </c>
    </row>
    <row r="65" spans="2:15" x14ac:dyDescent="0.25">
      <c r="B65">
        <v>0</v>
      </c>
      <c r="C65" s="2">
        <v>-125000</v>
      </c>
      <c r="D65" s="2">
        <v>-4000</v>
      </c>
      <c r="E65" s="2">
        <f>D65+C65</f>
        <v>-129000</v>
      </c>
      <c r="F65" s="2">
        <v>1</v>
      </c>
      <c r="G65">
        <f>F65*E65</f>
        <v>-129000</v>
      </c>
      <c r="I65">
        <f>3/4*15*1440000/0.0002</f>
        <v>81000000000</v>
      </c>
      <c r="K65">
        <v>4</v>
      </c>
      <c r="M65">
        <f t="shared" si="23"/>
        <v>0.76289521204752508</v>
      </c>
    </row>
    <row r="66" spans="2:15" x14ac:dyDescent="0.25">
      <c r="B66">
        <v>1</v>
      </c>
      <c r="C66" s="2"/>
      <c r="F66">
        <f>F65/1.1</f>
        <v>0.90909090909090906</v>
      </c>
      <c r="G66">
        <f>F66*C66</f>
        <v>0</v>
      </c>
      <c r="I66">
        <f>POWER(I65,1/3)</f>
        <v>4326.7487109222257</v>
      </c>
      <c r="K66">
        <v>5</v>
      </c>
      <c r="M66">
        <f t="shared" si="23"/>
        <v>0.71298617948366827</v>
      </c>
    </row>
    <row r="67" spans="2:15" x14ac:dyDescent="0.25">
      <c r="B67">
        <v>2</v>
      </c>
      <c r="C67" s="2">
        <v>4000</v>
      </c>
      <c r="F67">
        <f t="shared" ref="F67" si="24">F66/1.1</f>
        <v>0.82644628099173545</v>
      </c>
      <c r="G67">
        <f>F67*C67</f>
        <v>3305.7851239669417</v>
      </c>
      <c r="I67">
        <f>I66*3</f>
        <v>12980.246132766677</v>
      </c>
      <c r="L67" t="s">
        <v>53</v>
      </c>
      <c r="M67">
        <f>M66+M65+M64+M63+M62</f>
        <v>4.1001974359475932</v>
      </c>
      <c r="N67">
        <v>0</v>
      </c>
    </row>
    <row r="68" spans="2:15" x14ac:dyDescent="0.25">
      <c r="B68">
        <v>3</v>
      </c>
      <c r="F68" t="s">
        <v>34</v>
      </c>
      <c r="G68" s="5">
        <f>G67+G66+G65</f>
        <v>-125694.21487603306</v>
      </c>
    </row>
    <row r="69" spans="2:15" x14ac:dyDescent="0.25">
      <c r="G69">
        <f>G68/F67</f>
        <v>-152090.00000000003</v>
      </c>
    </row>
    <row r="70" spans="2:15" x14ac:dyDescent="0.25">
      <c r="B70" t="s">
        <v>0</v>
      </c>
      <c r="C70" t="s">
        <v>16</v>
      </c>
    </row>
    <row r="71" spans="2:15" x14ac:dyDescent="0.25">
      <c r="B71">
        <v>0</v>
      </c>
      <c r="C71" s="2">
        <v>-45</v>
      </c>
    </row>
    <row r="72" spans="2:15" x14ac:dyDescent="0.25">
      <c r="B72">
        <v>1</v>
      </c>
      <c r="C72" s="2">
        <v>15</v>
      </c>
    </row>
    <row r="73" spans="2:15" x14ac:dyDescent="0.25">
      <c r="B73">
        <v>2</v>
      </c>
      <c r="C73" s="2">
        <v>17</v>
      </c>
    </row>
    <row r="74" spans="2:15" x14ac:dyDescent="0.25">
      <c r="B74">
        <v>3</v>
      </c>
      <c r="C74" s="2">
        <v>22</v>
      </c>
      <c r="H74">
        <f>80*2.7</f>
        <v>216</v>
      </c>
      <c r="J74" s="13" t="s">
        <v>0</v>
      </c>
      <c r="K74" t="s">
        <v>16</v>
      </c>
      <c r="L74" t="s">
        <v>55</v>
      </c>
      <c r="M74" t="s">
        <v>57</v>
      </c>
      <c r="N74" t="s">
        <v>56</v>
      </c>
      <c r="O74" t="s">
        <v>3</v>
      </c>
    </row>
    <row r="75" spans="2:15" x14ac:dyDescent="0.25">
      <c r="B75">
        <v>4</v>
      </c>
      <c r="C75" s="2">
        <v>6</v>
      </c>
      <c r="H75">
        <f>H74/1.08</f>
        <v>200</v>
      </c>
      <c r="J75">
        <v>1</v>
      </c>
      <c r="K75">
        <v>10</v>
      </c>
      <c r="L75" s="10">
        <v>0.05</v>
      </c>
      <c r="M75">
        <f>K75*L75</f>
        <v>0.5</v>
      </c>
      <c r="N75" s="14">
        <f>10/1.08</f>
        <v>9.2592592592592595</v>
      </c>
    </row>
    <row r="76" spans="2:15" x14ac:dyDescent="0.25">
      <c r="B76" t="s">
        <v>48</v>
      </c>
      <c r="C76" s="12">
        <f>IRR(C71:C75)</f>
        <v>0.13585109240209281</v>
      </c>
      <c r="J76">
        <v>2</v>
      </c>
      <c r="K76">
        <v>10</v>
      </c>
      <c r="L76" s="10">
        <v>0.05</v>
      </c>
      <c r="M76">
        <f t="shared" ref="M76:M77" si="25">K76*L76</f>
        <v>0.5</v>
      </c>
    </row>
    <row r="77" spans="2:15" x14ac:dyDescent="0.25">
      <c r="C77" s="2"/>
      <c r="J77">
        <v>3</v>
      </c>
      <c r="K77">
        <f>10+10</f>
        <v>20</v>
      </c>
      <c r="L77" s="10">
        <v>0.05</v>
      </c>
      <c r="M77">
        <f t="shared" si="25"/>
        <v>1</v>
      </c>
    </row>
    <row r="78" spans="2:15" x14ac:dyDescent="0.25">
      <c r="C78" s="2"/>
    </row>
    <row r="79" spans="2:15" x14ac:dyDescent="0.25">
      <c r="C79" s="2"/>
      <c r="I79">
        <f>6/1.08^2</f>
        <v>5.144032921810699</v>
      </c>
    </row>
    <row r="80" spans="2:15" x14ac:dyDescent="0.25">
      <c r="C80" s="2"/>
    </row>
    <row r="81" spans="3:3" x14ac:dyDescent="0.25">
      <c r="C81" s="11"/>
    </row>
  </sheetData>
  <hyperlinks>
    <hyperlink ref="I49" r:id="rId1"/>
    <hyperlink ref="M49" r:id="rId2" display="PV@10%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2025-04-26T17:18:54Z</dcterms:created>
  <dcterms:modified xsi:type="dcterms:W3CDTF">2025-12-01T10:54:49Z</dcterms:modified>
</cp:coreProperties>
</file>