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anj\Documents\GitHub\inakm.github.io\myprojects\ACCA-FM\"/>
    </mc:Choice>
  </mc:AlternateContent>
  <xr:revisionPtr revIDLastSave="0" documentId="13_ncr:1_{7D1C5ABB-4D14-4D68-835F-39C5B7C4064A}" xr6:coauthVersionLast="47" xr6:coauthVersionMax="47" xr10:uidLastSave="{00000000-0000-0000-0000-000000000000}"/>
  <bookViews>
    <workbookView xWindow="-108" yWindow="-108" windowWidth="30936" windowHeight="18696" activeTab="1" xr2:uid="{17C56D3C-802C-4E22-A60F-3BA2A8EE22EF}"/>
  </bookViews>
  <sheets>
    <sheet name="Chp 13 TYU 1" sheetId="1" r:id="rId1"/>
    <sheet name="Answer 1" sheetId="2" r:id="rId2"/>
    <sheet name="TYU 2" sheetId="3" r:id="rId3"/>
    <sheet name="Answer 2" sheetId="4" r:id="rId4"/>
    <sheet name="TYU 3" sheetId="5" r:id="rId5"/>
    <sheet name="Answer 3" sheetId="6" r:id="rId6"/>
    <sheet name="Chp 14 TYU 1" sheetId="7" r:id="rId7"/>
    <sheet name="Chp 14 TYU 5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8" l="1"/>
  <c r="E21" i="8"/>
  <c r="E22" i="8" s="1"/>
  <c r="H14" i="8" s="1"/>
  <c r="H17" i="8" s="1"/>
  <c r="H24" i="8" s="1"/>
  <c r="H22" i="8"/>
  <c r="H23" i="8"/>
  <c r="H21" i="8"/>
  <c r="H16" i="8"/>
  <c r="E17" i="8"/>
  <c r="E14" i="8"/>
  <c r="D38" i="8"/>
  <c r="D37" i="8"/>
  <c r="D28" i="8"/>
  <c r="D21" i="8"/>
  <c r="D17" i="8"/>
  <c r="D22" i="8" s="1"/>
  <c r="L29" i="7"/>
  <c r="P26" i="7" s="1"/>
  <c r="P25" i="7" s="1"/>
  <c r="O26" i="7"/>
  <c r="O25" i="7" s="1"/>
  <c r="P24" i="7"/>
  <c r="O24" i="7"/>
  <c r="Q21" i="7"/>
  <c r="Q20" i="7"/>
  <c r="P21" i="7"/>
  <c r="O21" i="7"/>
  <c r="P20" i="7"/>
  <c r="O20" i="7"/>
  <c r="Q11" i="7"/>
  <c r="Q10" i="7"/>
  <c r="P17" i="7"/>
  <c r="Q17" i="7" s="1"/>
  <c r="P16" i="7"/>
  <c r="Q16" i="7" s="1"/>
  <c r="O17" i="7"/>
  <c r="O16" i="7"/>
  <c r="Q15" i="7"/>
  <c r="Q14" i="7"/>
  <c r="P15" i="7"/>
  <c r="O15" i="7"/>
  <c r="P14" i="7"/>
  <c r="O14" i="7"/>
  <c r="P11" i="7"/>
  <c r="O11" i="7"/>
  <c r="P10" i="7"/>
  <c r="O10" i="7"/>
  <c r="G41" i="7"/>
  <c r="F41" i="7"/>
  <c r="G38" i="7"/>
  <c r="F38" i="7"/>
  <c r="G35" i="7"/>
  <c r="F35" i="7"/>
  <c r="G30" i="7"/>
  <c r="F30" i="7"/>
  <c r="G29" i="7"/>
  <c r="F29" i="7"/>
  <c r="G24" i="7"/>
  <c r="F24" i="7"/>
  <c r="G17" i="7"/>
  <c r="F17" i="7"/>
  <c r="G16" i="7"/>
  <c r="F16" i="7"/>
  <c r="G15" i="7"/>
  <c r="F15" i="7"/>
  <c r="G11" i="7"/>
  <c r="F11" i="7"/>
  <c r="F13" i="7" s="1"/>
  <c r="G13" i="7"/>
  <c r="G4" i="6"/>
  <c r="G7" i="6"/>
  <c r="C9" i="6" s="1"/>
  <c r="G6" i="6"/>
  <c r="G9" i="6"/>
  <c r="G5" i="6"/>
  <c r="D7" i="6"/>
  <c r="E7" i="6"/>
  <c r="F7" i="6"/>
  <c r="C7" i="6"/>
  <c r="D6" i="6"/>
  <c r="E6" i="6"/>
  <c r="F6" i="6"/>
  <c r="C6" i="6"/>
  <c r="D5" i="6"/>
  <c r="E5" i="6"/>
  <c r="F5" i="6"/>
  <c r="C5" i="6"/>
  <c r="E4" i="6"/>
  <c r="F4" i="6"/>
  <c r="D4" i="6"/>
  <c r="C18" i="4"/>
  <c r="F15" i="4"/>
  <c r="F18" i="4"/>
  <c r="G15" i="2"/>
  <c r="F14" i="4"/>
  <c r="D15" i="4"/>
  <c r="E15" i="4"/>
  <c r="C15" i="4"/>
  <c r="D14" i="4"/>
  <c r="E14" i="4"/>
  <c r="C14" i="4"/>
  <c r="D9" i="4"/>
  <c r="E9" i="4"/>
  <c r="F9" i="4"/>
  <c r="C9" i="4"/>
  <c r="C13" i="4" s="1"/>
  <c r="D13" i="4"/>
  <c r="E13" i="4"/>
  <c r="F13" i="4"/>
  <c r="D12" i="4"/>
  <c r="E12" i="4"/>
  <c r="F12" i="4"/>
  <c r="D11" i="4"/>
  <c r="E11" i="4"/>
  <c r="F11" i="4"/>
  <c r="C12" i="4"/>
  <c r="C11" i="4"/>
  <c r="D10" i="4"/>
  <c r="E10" i="4"/>
  <c r="F10" i="4"/>
  <c r="C10" i="4"/>
  <c r="D8" i="4"/>
  <c r="E8" i="4"/>
  <c r="F8" i="4"/>
  <c r="C8" i="4"/>
  <c r="D7" i="4"/>
  <c r="E7" i="4"/>
  <c r="F7" i="4"/>
  <c r="C7" i="4"/>
  <c r="D6" i="4"/>
  <c r="E6" i="4"/>
  <c r="F6" i="4"/>
  <c r="C6" i="4"/>
  <c r="K9" i="3"/>
  <c r="K11" i="3" s="1"/>
  <c r="K13" i="3" s="1"/>
  <c r="C4" i="4"/>
  <c r="D4" i="4" s="1"/>
  <c r="E4" i="4" s="1"/>
  <c r="F4" i="4" s="1"/>
  <c r="C3" i="4"/>
  <c r="C5" i="4" s="1"/>
  <c r="E2" i="4"/>
  <c r="F2" i="4"/>
  <c r="D2" i="4"/>
  <c r="Q3" i="3"/>
  <c r="R3" i="3" s="1"/>
  <c r="S3" i="3" s="1"/>
  <c r="P3" i="3"/>
  <c r="K6" i="3"/>
  <c r="H13" i="2"/>
  <c r="H12" i="2"/>
  <c r="D18" i="2"/>
  <c r="D16" i="2"/>
  <c r="E13" i="2"/>
  <c r="F13" i="2"/>
  <c r="G13" i="2"/>
  <c r="D15" i="2"/>
  <c r="D13" i="2"/>
  <c r="E12" i="2"/>
  <c r="F12" i="2"/>
  <c r="G12" i="2"/>
  <c r="D12" i="2"/>
  <c r="E11" i="2"/>
  <c r="F11" i="2"/>
  <c r="G11" i="2"/>
  <c r="H11" i="2"/>
  <c r="E9" i="2"/>
  <c r="F9" i="2"/>
  <c r="G9" i="2"/>
  <c r="H9" i="2"/>
  <c r="D9" i="2"/>
  <c r="D11" i="2"/>
  <c r="E10" i="2"/>
  <c r="F10" i="2"/>
  <c r="G10" i="2"/>
  <c r="H10" i="2"/>
  <c r="D10" i="2"/>
  <c r="E22" i="1"/>
  <c r="F22" i="1"/>
  <c r="G22" i="1"/>
  <c r="H22" i="1"/>
  <c r="D22" i="1"/>
  <c r="E8" i="2"/>
  <c r="F8" i="2"/>
  <c r="G8" i="2"/>
  <c r="H8" i="2"/>
  <c r="D8" i="2"/>
  <c r="E7" i="2"/>
  <c r="F7" i="2"/>
  <c r="G7" i="2"/>
  <c r="H7" i="2"/>
  <c r="D7" i="2"/>
  <c r="H20" i="1"/>
  <c r="F20" i="1"/>
  <c r="G20" i="1" s="1"/>
  <c r="E20" i="1"/>
  <c r="E6" i="2"/>
  <c r="F6" i="2"/>
  <c r="G6" i="2"/>
  <c r="H6" i="2"/>
  <c r="D6" i="2"/>
  <c r="E5" i="2"/>
  <c r="F5" i="2"/>
  <c r="G5" i="2"/>
  <c r="H5" i="2"/>
  <c r="D5" i="2"/>
  <c r="G3" i="2"/>
  <c r="H3" i="2"/>
  <c r="E3" i="2"/>
  <c r="F3" i="2"/>
  <c r="D3" i="2"/>
  <c r="E4" i="2"/>
  <c r="F4" i="2"/>
  <c r="G4" i="2"/>
  <c r="H4" i="2"/>
  <c r="D4" i="2"/>
  <c r="C4" i="2"/>
  <c r="H18" i="1"/>
  <c r="F18" i="1"/>
  <c r="G18" i="1"/>
  <c r="E18" i="1"/>
  <c r="E17" i="1"/>
  <c r="F17" i="1"/>
  <c r="G17" i="1"/>
  <c r="H17" i="1"/>
  <c r="D17" i="1"/>
  <c r="Q25" i="7" l="1"/>
  <c r="Q26" i="7"/>
  <c r="Q24" i="7"/>
  <c r="D3" i="4"/>
  <c r="D17" i="2"/>
  <c r="D19" i="2" s="1"/>
  <c r="D5" i="4" l="1"/>
  <c r="E3" i="4"/>
  <c r="E5" i="4" l="1"/>
  <c r="F3" i="4"/>
  <c r="F5" i="4" s="1"/>
</calcChain>
</file>

<file path=xl/sharedStrings.xml><?xml version="1.0" encoding="utf-8"?>
<sst xmlns="http://schemas.openxmlformats.org/spreadsheetml/2006/main" count="197" uniqueCount="145">
  <si>
    <r>
      <t xml:space="preserve">A company is preparing a free cash flow forecast in order to calculate the value of equity.
The following information is available:
Sales: Current sales are $500 million. Growth is expected to be 8% in year 1, falling by 2% per year (e.g. to 6% in year 2) until sales level out in year 5 where they are expected to remain constant in perpetuity.
The operating profit margin will be 10% for the first two years and 12% thereafter.
Depreciation in year 1 will be $7 million increasing by $1 million per year over the planning horizon before levelling off and replacement asset investment is assumed to equal depreciation. Incremental investment in assets is expected to be 8% of the increase in sales in year 1, 6% of the increase in sales in each of the following two years, and 4% of the increase in year 4.
Tax will be charged at 30%. The WACC is 15%.
The market value of short-term investments is $4 million and the market value of debt is $48 million.
</t>
    </r>
    <r>
      <rPr>
        <b/>
        <sz val="11"/>
        <color theme="1"/>
        <rFont val="Aptos Narrow"/>
        <family val="2"/>
        <scheme val="minor"/>
      </rPr>
      <t>Required:
Calculate the value of equity.</t>
    </r>
  </si>
  <si>
    <t xml:space="preserve">Free Cash Flow </t>
  </si>
  <si>
    <t>Planning Horizon</t>
  </si>
  <si>
    <t>Beyond</t>
  </si>
  <si>
    <t>Year</t>
  </si>
  <si>
    <t>Sales</t>
  </si>
  <si>
    <t>Current Sales</t>
  </si>
  <si>
    <t>m</t>
  </si>
  <si>
    <t xml:space="preserve">Year </t>
  </si>
  <si>
    <t>Sales Growth</t>
  </si>
  <si>
    <t>Current</t>
  </si>
  <si>
    <t>Operating Profit</t>
  </si>
  <si>
    <t>Tax</t>
  </si>
  <si>
    <t>WACC</t>
  </si>
  <si>
    <t>Tax Rate</t>
  </si>
  <si>
    <t>Deprecitation</t>
  </si>
  <si>
    <t>lvl off</t>
  </si>
  <si>
    <t>Operating CF</t>
  </si>
  <si>
    <t>Incremental assets</t>
  </si>
  <si>
    <t>Replacement assets</t>
  </si>
  <si>
    <t>Invesment Rate</t>
  </si>
  <si>
    <t>Replacement Cost</t>
  </si>
  <si>
    <t>PV</t>
  </si>
  <si>
    <t>PV factor</t>
  </si>
  <si>
    <t>Total PV</t>
  </si>
  <si>
    <t>Short term Invesments</t>
  </si>
  <si>
    <t>Value for Firm</t>
  </si>
  <si>
    <t>Market Value of Deblt</t>
  </si>
  <si>
    <t>Market Value of Debt</t>
  </si>
  <si>
    <t>Short Term Investments</t>
  </si>
  <si>
    <t>Value of Equity</t>
  </si>
  <si>
    <t>Terminal Value</t>
  </si>
  <si>
    <t xml:space="preserve">Revenue </t>
  </si>
  <si>
    <t>$m</t>
  </si>
  <si>
    <t>PBIT</t>
  </si>
  <si>
    <t>Int</t>
  </si>
  <si>
    <t>PBT</t>
  </si>
  <si>
    <t>PAT</t>
  </si>
  <si>
    <t>COGS</t>
  </si>
  <si>
    <t>Op Exp + Dep</t>
  </si>
  <si>
    <t>Cost of Equity</t>
  </si>
  <si>
    <t xml:space="preserve">No. of Shares </t>
  </si>
  <si>
    <t>M Tax Rate</t>
  </si>
  <si>
    <t>Assets of B Co.</t>
  </si>
  <si>
    <t>NCA</t>
  </si>
  <si>
    <t>WC</t>
  </si>
  <si>
    <t>Selling Price Growth</t>
  </si>
  <si>
    <t>Sales Volumn Growth</t>
  </si>
  <si>
    <t>Base</t>
  </si>
  <si>
    <t>Op Exp</t>
  </si>
  <si>
    <t>Int Exp</t>
  </si>
  <si>
    <t xml:space="preserve">Tax </t>
  </si>
  <si>
    <t>Deperciation Addback</t>
  </si>
  <si>
    <t>Dep Exp</t>
  </si>
  <si>
    <t>CapEx</t>
  </si>
  <si>
    <t>Changes in WC</t>
  </si>
  <si>
    <t>PV Factor</t>
  </si>
  <si>
    <t>FCFE</t>
  </si>
  <si>
    <t>TV</t>
  </si>
  <si>
    <t>Total PV (NPV)</t>
  </si>
  <si>
    <r>
      <t xml:space="preserve">C Co has just paid a dividend of 32 cents per share. The return on equities in this risk class is 16%.
</t>
    </r>
    <r>
      <rPr>
        <b/>
        <sz val="11"/>
        <color theme="1"/>
        <rFont val="Aptos Narrow"/>
        <family val="2"/>
        <scheme val="minor"/>
      </rPr>
      <t>Required:
Calculate the value of each share, assuming constant dividends for 3 years and then growth of 4% per year to perpetuity.</t>
    </r>
  </si>
  <si>
    <t xml:space="preserve">Divident </t>
  </si>
  <si>
    <t>cents/sh</t>
  </si>
  <si>
    <t>ROE</t>
  </si>
  <si>
    <t>Growth Rate</t>
  </si>
  <si>
    <t>Cash Flow (Dividend)</t>
  </si>
  <si>
    <t>Net Present Value</t>
  </si>
  <si>
    <t>The following shows the balance sheet (statement of financial position) and statement of profit or loss for Zed Manufacturing for the years ended 31 December 20X7 and 31 December 20X8:</t>
  </si>
  <si>
    <t xml:space="preserve">Summarised statement of profit or loss ($m) </t>
  </si>
  <si>
    <t>Particulars</t>
  </si>
  <si>
    <t>20X7</t>
  </si>
  <si>
    <t>20X8</t>
  </si>
  <si>
    <t>Sales Revenue</t>
  </si>
  <si>
    <t>Cost of Sales</t>
  </si>
  <si>
    <t>Operating Exp</t>
  </si>
  <si>
    <t>Interet Exp</t>
  </si>
  <si>
    <t>Tax (50%)</t>
  </si>
  <si>
    <t>Summarised statement of financial position (balance sheet) ($m)</t>
  </si>
  <si>
    <t>Gross Profit</t>
  </si>
  <si>
    <t>Profit after Tax (PAT)</t>
  </si>
  <si>
    <t>Intanglible Assets</t>
  </si>
  <si>
    <t>Tanglible Assets at NBV</t>
  </si>
  <si>
    <t>Non-Current Assets:</t>
  </si>
  <si>
    <t>Current Assets:</t>
  </si>
  <si>
    <t>Inventory</t>
  </si>
  <si>
    <t>Recivables</t>
  </si>
  <si>
    <t>Bank</t>
  </si>
  <si>
    <t>Total Assets</t>
  </si>
  <si>
    <t>Equity</t>
  </si>
  <si>
    <t>Share Capital</t>
  </si>
  <si>
    <t>Retained Earnings</t>
  </si>
  <si>
    <t>Non-Current Liabilities:</t>
  </si>
  <si>
    <t>Long-term loans</t>
  </si>
  <si>
    <t>Current Liabilities:</t>
  </si>
  <si>
    <t>Payables</t>
  </si>
  <si>
    <t xml:space="preserve">Total equity and liabilities </t>
  </si>
  <si>
    <t xml:space="preserve">Required:
Summarise the performance of Zed Manufacturing in 20X8 compared with 20X7. </t>
  </si>
  <si>
    <t xml:space="preserve">Performance analysis </t>
  </si>
  <si>
    <t xml:space="preserve">ROCE (based on pre-tax operating profit) </t>
  </si>
  <si>
    <t xml:space="preserve">ROCE (based on post-tax operating profit) </t>
  </si>
  <si>
    <t>Profitability ratios:</t>
  </si>
  <si>
    <t>Liquidity ratios:</t>
  </si>
  <si>
    <t>Debtor Days</t>
  </si>
  <si>
    <t>Creditor Days</t>
  </si>
  <si>
    <t>Inventory Holding Period</t>
  </si>
  <si>
    <t>Cash Operating Cycle</t>
  </si>
  <si>
    <t>Unit</t>
  </si>
  <si>
    <t>days</t>
  </si>
  <si>
    <t xml:space="preserve">Change </t>
  </si>
  <si>
    <t>Gearing ratios:</t>
  </si>
  <si>
    <t xml:space="preserve">Debt/Equity </t>
  </si>
  <si>
    <t>Interest expense</t>
  </si>
  <si>
    <t>times</t>
  </si>
  <si>
    <t>Market ratios:</t>
  </si>
  <si>
    <t>Share Price</t>
  </si>
  <si>
    <t xml:space="preserve">P/E ratio </t>
  </si>
  <si>
    <t>EPS</t>
  </si>
  <si>
    <t>Number of Shares</t>
  </si>
  <si>
    <t>shares</t>
  </si>
  <si>
    <t xml:space="preserve">Wire Construction Case Study </t>
  </si>
  <si>
    <t>Wire Construction has suffered from losses in the last three years. Its statement of financial position as at 31 December 20X1 shows:</t>
  </si>
  <si>
    <t>20XX</t>
  </si>
  <si>
    <t xml:space="preserve">Land and buildings </t>
  </si>
  <si>
    <t>Equipment</t>
  </si>
  <si>
    <t>Investment</t>
  </si>
  <si>
    <t>Non-current assets:</t>
  </si>
  <si>
    <t>Current assets:</t>
  </si>
  <si>
    <t>Receivables</t>
  </si>
  <si>
    <t>Equity and liabilities:</t>
  </si>
  <si>
    <t>Ordinary shares – $1</t>
  </si>
  <si>
    <t xml:space="preserve">5% Cumulative preference shares – $1 </t>
  </si>
  <si>
    <t xml:space="preserve">Profit and loss </t>
  </si>
  <si>
    <t xml:space="preserve">Non-current liabilities </t>
  </si>
  <si>
    <t xml:space="preserve">8% Debenture 20X4 </t>
  </si>
  <si>
    <t>Current liabilities</t>
  </si>
  <si>
    <t xml:space="preserve">Trade payables </t>
  </si>
  <si>
    <t xml:space="preserve">Interest payable </t>
  </si>
  <si>
    <t xml:space="preserve">Overdraft </t>
  </si>
  <si>
    <t>Current Value</t>
  </si>
  <si>
    <t xml:space="preserve">Position of interested parties in a liquidation (assuming assets can be sold at going concern value) </t>
  </si>
  <si>
    <t xml:space="preserve">Total Current Value of Assets </t>
  </si>
  <si>
    <t>Debentures</t>
  </si>
  <si>
    <t>Other Creditors:</t>
  </si>
  <si>
    <t>Secured debts:</t>
  </si>
  <si>
    <t>Left for Share Holders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</si>
</sst>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$-409]* #,##0.00_ ;_-[$$-409]* \-#,##0.00\ ;_-[$$-409]* &quot;-&quot;??_ ;_-@_ "/>
    <numFmt numFmtId="165" formatCode="0.000"/>
    <numFmt numFmtId="166" formatCode="0.0"/>
    <numFmt numFmtId="167" formatCode="0.0%"/>
    <numFmt numFmtId="168" formatCode="#,##0.0"/>
  </numFmts>
  <fonts count="6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3" tint="0.89999084444715716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9" fontId="3" fillId="0" borderId="0" applyFont="0" applyFill="0" applyBorder="0" applyAlignment="0" applyProtection="0"/>
    <xf numFmtId="0" fontId="4" fillId="8" borderId="0" applyNumberFormat="0" applyBorder="0" applyAlignment="0" applyProtection="0"/>
  </cellStyleXfs>
  <cellXfs count="127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9" fontId="0" fillId="0" borderId="0" xfId="0" applyNumberFormat="1"/>
    <xf numFmtId="166" fontId="0" fillId="0" borderId="0" xfId="0" applyNumberFormat="1"/>
    <xf numFmtId="166" fontId="0" fillId="0" borderId="9" xfId="0" applyNumberFormat="1" applyBorder="1"/>
    <xf numFmtId="0" fontId="0" fillId="0" borderId="9" xfId="0" applyBorder="1"/>
    <xf numFmtId="0" fontId="0" fillId="3" borderId="0" xfId="0" applyFill="1"/>
    <xf numFmtId="166" fontId="0" fillId="3" borderId="0" xfId="0" applyNumberFormat="1" applyFill="1"/>
    <xf numFmtId="0" fontId="0" fillId="3" borderId="9" xfId="0" applyFill="1" applyBorder="1"/>
    <xf numFmtId="166" fontId="1" fillId="2" borderId="10" xfId="1" applyNumberFormat="1" applyBorder="1"/>
    <xf numFmtId="0" fontId="0" fillId="0" borderId="11" xfId="0" applyBorder="1"/>
    <xf numFmtId="0" fontId="0" fillId="0" borderId="12" xfId="0" applyBorder="1"/>
    <xf numFmtId="166" fontId="0" fillId="0" borderId="13" xfId="0" applyNumberFormat="1" applyBorder="1"/>
    <xf numFmtId="166" fontId="0" fillId="0" borderId="12" xfId="0" applyNumberFormat="1" applyBorder="1"/>
    <xf numFmtId="0" fontId="0" fillId="0" borderId="13" xfId="0" applyBorder="1"/>
    <xf numFmtId="165" fontId="0" fillId="0" borderId="12" xfId="0" applyNumberFormat="1" applyBorder="1"/>
    <xf numFmtId="0" fontId="0" fillId="0" borderId="14" xfId="0" applyBorder="1"/>
    <xf numFmtId="166" fontId="0" fillId="0" borderId="14" xfId="0" applyNumberFormat="1" applyBorder="1"/>
    <xf numFmtId="166" fontId="0" fillId="0" borderId="11" xfId="0" applyNumberFormat="1" applyBorder="1"/>
    <xf numFmtId="165" fontId="0" fillId="0" borderId="11" xfId="0" applyNumberFormat="1" applyBorder="1"/>
    <xf numFmtId="2" fontId="0" fillId="0" borderId="0" xfId="0" applyNumberFormat="1"/>
    <xf numFmtId="0" fontId="0" fillId="0" borderId="4" xfId="0" applyBorder="1"/>
    <xf numFmtId="166" fontId="0" fillId="0" borderId="5" xfId="0" applyNumberFormat="1" applyBorder="1"/>
    <xf numFmtId="166" fontId="0" fillId="0" borderId="15" xfId="0" applyNumberFormat="1" applyBorder="1"/>
    <xf numFmtId="0" fontId="0" fillId="0" borderId="5" xfId="0" applyBorder="1"/>
    <xf numFmtId="0" fontId="0" fillId="0" borderId="15" xfId="0" applyBorder="1"/>
    <xf numFmtId="165" fontId="0" fillId="0" borderId="0" xfId="0" applyNumberFormat="1"/>
    <xf numFmtId="165" fontId="0" fillId="0" borderId="5" xfId="0" applyNumberFormat="1" applyBorder="1"/>
    <xf numFmtId="0" fontId="0" fillId="0" borderId="6" xfId="0" applyBorder="1"/>
    <xf numFmtId="2" fontId="0" fillId="0" borderId="16" xfId="0" applyNumberFormat="1" applyBorder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7" xfId="0" applyBorder="1"/>
    <xf numFmtId="166" fontId="0" fillId="0" borderId="19" xfId="0" applyNumberFormat="1" applyBorder="1"/>
    <xf numFmtId="166" fontId="0" fillId="0" borderId="7" xfId="0" applyNumberFormat="1" applyBorder="1"/>
    <xf numFmtId="166" fontId="0" fillId="0" borderId="20" xfId="0" applyNumberFormat="1" applyBorder="1"/>
    <xf numFmtId="166" fontId="0" fillId="0" borderId="8" xfId="0" applyNumberFormat="1" applyBorder="1"/>
    <xf numFmtId="0" fontId="0" fillId="5" borderId="1" xfId="0" applyFill="1" applyBorder="1"/>
    <xf numFmtId="0" fontId="0" fillId="5" borderId="2" xfId="0" applyFill="1" applyBorder="1"/>
    <xf numFmtId="0" fontId="0" fillId="5" borderId="21" xfId="0" applyFill="1" applyBorder="1"/>
    <xf numFmtId="0" fontId="0" fillId="0" borderId="22" xfId="0" applyBorder="1"/>
    <xf numFmtId="0" fontId="0" fillId="0" borderId="23" xfId="0" applyBorder="1"/>
    <xf numFmtId="166" fontId="0" fillId="0" borderId="22" xfId="0" applyNumberFormat="1" applyBorder="1"/>
    <xf numFmtId="165" fontId="0" fillId="0" borderId="22" xfId="0" applyNumberFormat="1" applyBorder="1"/>
    <xf numFmtId="2" fontId="0" fillId="0" borderId="24" xfId="0" applyNumberFormat="1" applyBorder="1"/>
    <xf numFmtId="0" fontId="0" fillId="5" borderId="25" xfId="0" applyFill="1" applyBorder="1"/>
    <xf numFmtId="166" fontId="0" fillId="0" borderId="26" xfId="0" applyNumberFormat="1" applyBorder="1"/>
    <xf numFmtId="166" fontId="0" fillId="0" borderId="27" xfId="0" applyNumberFormat="1" applyBorder="1"/>
    <xf numFmtId="0" fontId="0" fillId="0" borderId="26" xfId="0" applyBorder="1"/>
    <xf numFmtId="0" fontId="0" fillId="0" borderId="27" xfId="0" applyBorder="1"/>
    <xf numFmtId="165" fontId="0" fillId="0" borderId="26" xfId="0" applyNumberFormat="1" applyBorder="1"/>
    <xf numFmtId="2" fontId="0" fillId="0" borderId="28" xfId="0" applyNumberFormat="1" applyBorder="1"/>
    <xf numFmtId="164" fontId="0" fillId="0" borderId="0" xfId="0" applyNumberFormat="1"/>
    <xf numFmtId="0" fontId="0" fillId="6" borderId="0" xfId="0" applyFill="1"/>
    <xf numFmtId="164" fontId="0" fillId="6" borderId="0" xfId="0" applyNumberFormat="1" applyFill="1"/>
    <xf numFmtId="0" fontId="0" fillId="7" borderId="10" xfId="0" applyFill="1" applyBorder="1"/>
    <xf numFmtId="0" fontId="0" fillId="0" borderId="10" xfId="0" applyBorder="1"/>
    <xf numFmtId="165" fontId="0" fillId="0" borderId="10" xfId="0" applyNumberFormat="1" applyBorder="1"/>
    <xf numFmtId="2" fontId="0" fillId="0" borderId="10" xfId="0" applyNumberFormat="1" applyBorder="1"/>
    <xf numFmtId="0" fontId="2" fillId="0" borderId="0" xfId="0" applyFont="1"/>
    <xf numFmtId="0" fontId="0" fillId="0" borderId="29" xfId="0" applyBorder="1"/>
    <xf numFmtId="0" fontId="0" fillId="0" borderId="30" xfId="0" applyBorder="1"/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0" fillId="0" borderId="31" xfId="0" applyBorder="1"/>
    <xf numFmtId="0" fontId="0" fillId="0" borderId="16" xfId="0" applyBorder="1"/>
    <xf numFmtId="0" fontId="0" fillId="0" borderId="32" xfId="0" applyBorder="1"/>
    <xf numFmtId="0" fontId="2" fillId="0" borderId="4" xfId="0" applyFont="1" applyBorder="1"/>
    <xf numFmtId="0" fontId="2" fillId="0" borderId="6" xfId="0" applyFont="1" applyBorder="1"/>
    <xf numFmtId="0" fontId="0" fillId="9" borderId="2" xfId="0" applyFill="1" applyBorder="1"/>
    <xf numFmtId="0" fontId="0" fillId="0" borderId="33" xfId="0" applyBorder="1"/>
    <xf numFmtId="167" fontId="0" fillId="0" borderId="0" xfId="0" applyNumberFormat="1"/>
    <xf numFmtId="167" fontId="0" fillId="0" borderId="0" xfId="2" applyNumberFormat="1" applyFont="1" applyBorder="1"/>
    <xf numFmtId="167" fontId="4" fillId="8" borderId="12" xfId="3" applyNumberFormat="1" applyBorder="1"/>
    <xf numFmtId="167" fontId="0" fillId="0" borderId="9" xfId="2" applyNumberFormat="1" applyFont="1" applyBorder="1"/>
    <xf numFmtId="167" fontId="4" fillId="8" borderId="13" xfId="3" applyNumberFormat="1" applyBorder="1"/>
    <xf numFmtId="1" fontId="0" fillId="0" borderId="0" xfId="0" applyNumberFormat="1"/>
    <xf numFmtId="1" fontId="4" fillId="8" borderId="12" xfId="3" applyNumberFormat="1" applyBorder="1"/>
    <xf numFmtId="1" fontId="0" fillId="0" borderId="9" xfId="0" applyNumberFormat="1" applyBorder="1"/>
    <xf numFmtId="1" fontId="4" fillId="8" borderId="13" xfId="3" applyNumberFormat="1" applyBorder="1"/>
    <xf numFmtId="0" fontId="0" fillId="0" borderId="12" xfId="2" applyNumberFormat="1" applyFont="1" applyBorder="1"/>
    <xf numFmtId="167" fontId="0" fillId="0" borderId="12" xfId="0" applyNumberFormat="1" applyBorder="1"/>
    <xf numFmtId="2" fontId="0" fillId="0" borderId="9" xfId="0" applyNumberFormat="1" applyBorder="1"/>
    <xf numFmtId="167" fontId="0" fillId="0" borderId="13" xfId="0" applyNumberFormat="1" applyBorder="1"/>
    <xf numFmtId="0" fontId="5" fillId="0" borderId="0" xfId="0" applyFont="1"/>
    <xf numFmtId="3" fontId="0" fillId="0" borderId="0" xfId="0" applyNumberFormat="1"/>
    <xf numFmtId="3" fontId="0" fillId="0" borderId="29" xfId="0" applyNumberFormat="1" applyBorder="1"/>
    <xf numFmtId="0" fontId="0" fillId="9" borderId="29" xfId="0" applyFill="1" applyBorder="1"/>
    <xf numFmtId="0" fontId="2" fillId="9" borderId="29" xfId="0" applyFont="1" applyFill="1" applyBorder="1"/>
    <xf numFmtId="0" fontId="2" fillId="9" borderId="35" xfId="0" applyFont="1" applyFill="1" applyBorder="1"/>
    <xf numFmtId="0" fontId="2" fillId="9" borderId="34" xfId="0" applyFont="1" applyFill="1" applyBorder="1"/>
    <xf numFmtId="3" fontId="0" fillId="0" borderId="30" xfId="0" applyNumberFormat="1" applyBorder="1"/>
    <xf numFmtId="3" fontId="0" fillId="0" borderId="5" xfId="0" applyNumberFormat="1" applyBorder="1"/>
    <xf numFmtId="3" fontId="0" fillId="0" borderId="31" xfId="0" applyNumberFormat="1" applyBorder="1"/>
    <xf numFmtId="168" fontId="0" fillId="0" borderId="5" xfId="0" applyNumberFormat="1" applyBorder="1"/>
    <xf numFmtId="3" fontId="0" fillId="0" borderId="33" xfId="0" applyNumberFormat="1" applyBorder="1"/>
    <xf numFmtId="3" fontId="0" fillId="0" borderId="16" xfId="0" applyNumberFormat="1" applyBorder="1"/>
    <xf numFmtId="0" fontId="0" fillId="0" borderId="8" xfId="0" applyBorder="1"/>
    <xf numFmtId="0" fontId="2" fillId="9" borderId="1" xfId="0" applyFont="1" applyFill="1" applyBorder="1"/>
    <xf numFmtId="0" fontId="2" fillId="9" borderId="2" xfId="0" applyFont="1" applyFill="1" applyBorder="1"/>
    <xf numFmtId="0" fontId="2" fillId="9" borderId="3" xfId="0" applyFont="1" applyFill="1" applyBorder="1"/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4" borderId="17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left"/>
    </xf>
    <xf numFmtId="0" fontId="2" fillId="9" borderId="34" xfId="0" applyFont="1" applyFill="1" applyBorder="1" applyAlignment="1">
      <alignment horizontal="left"/>
    </xf>
    <xf numFmtId="0" fontId="2" fillId="9" borderId="29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9" xfId="0" applyBorder="1" applyAlignment="1">
      <alignment horizontal="left" wrapText="1"/>
    </xf>
  </cellXfs>
  <cellStyles count="4">
    <cellStyle name="Bad" xfId="3" builtinId="27"/>
    <cellStyle name="Good" xfId="1" builtinId="2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352137</xdr:colOff>
      <xdr:row>35</xdr:row>
      <xdr:rowOff>133611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D9A173-55E2-7F67-F51E-2C23390D3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2" y="184727"/>
          <a:ext cx="4023591" cy="6414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9F1D-B249-4307-8BF6-3DF40C500D33}">
  <dimension ref="B1:N24"/>
  <sheetViews>
    <sheetView showGridLines="0" zoomScale="146" workbookViewId="0">
      <selection activeCell="C29" sqref="C29"/>
    </sheetView>
  </sheetViews>
  <sheetFormatPr defaultRowHeight="14.4" x14ac:dyDescent="0.3"/>
  <cols>
    <col min="1" max="1" width="3.21875" customWidth="1"/>
    <col min="2" max="2" width="16.21875" bestFit="1" customWidth="1"/>
    <col min="3" max="3" width="8.88671875" customWidth="1"/>
    <col min="6" max="6" width="8.5546875" bestFit="1" customWidth="1"/>
    <col min="12" max="12" width="20.44140625" bestFit="1" customWidth="1"/>
  </cols>
  <sheetData>
    <row r="1" spans="2:14" ht="15" thickBot="1" x14ac:dyDescent="0.35"/>
    <row r="2" spans="2:14" ht="14.4" customHeight="1" x14ac:dyDescent="0.3">
      <c r="B2" s="106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</row>
    <row r="3" spans="2:14" x14ac:dyDescent="0.3">
      <c r="B3" s="109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10"/>
    </row>
    <row r="4" spans="2:14" x14ac:dyDescent="0.3">
      <c r="B4" s="109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10"/>
    </row>
    <row r="5" spans="2:14" x14ac:dyDescent="0.3">
      <c r="B5" s="109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10"/>
    </row>
    <row r="6" spans="2:14" x14ac:dyDescent="0.3">
      <c r="B6" s="109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10"/>
    </row>
    <row r="7" spans="2:14" x14ac:dyDescent="0.3">
      <c r="B7" s="109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10"/>
    </row>
    <row r="8" spans="2:14" x14ac:dyDescent="0.3">
      <c r="B8" s="109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10"/>
    </row>
    <row r="9" spans="2:14" x14ac:dyDescent="0.3">
      <c r="B9" s="109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10"/>
    </row>
    <row r="10" spans="2:14" x14ac:dyDescent="0.3">
      <c r="B10" s="109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10"/>
    </row>
    <row r="11" spans="2:14" x14ac:dyDescent="0.3">
      <c r="B11" s="109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10"/>
    </row>
    <row r="12" spans="2:14" x14ac:dyDescent="0.3">
      <c r="B12" s="109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10"/>
    </row>
    <row r="13" spans="2:14" ht="15" thickBot="1" x14ac:dyDescent="0.35">
      <c r="B13" s="111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3"/>
    </row>
    <row r="14" spans="2:14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2:14" x14ac:dyDescent="0.3">
      <c r="B15" s="1" t="s">
        <v>6</v>
      </c>
      <c r="C15" s="3">
        <v>500</v>
      </c>
      <c r="D15" s="1" t="s">
        <v>7</v>
      </c>
      <c r="E15" s="1" t="s">
        <v>14</v>
      </c>
      <c r="F15" s="2">
        <v>0.3</v>
      </c>
      <c r="G15" s="1"/>
      <c r="H15" s="1" t="s">
        <v>13</v>
      </c>
      <c r="I15" s="2">
        <v>0.15</v>
      </c>
      <c r="J15" s="1">
        <v>0.15</v>
      </c>
      <c r="K15" s="1"/>
      <c r="L15" t="s">
        <v>28</v>
      </c>
      <c r="M15" s="1">
        <v>48</v>
      </c>
      <c r="N15" s="1"/>
    </row>
    <row r="16" spans="2:14" x14ac:dyDescent="0.3">
      <c r="D16" s="1"/>
      <c r="E16" s="1"/>
      <c r="H16" s="1"/>
      <c r="I16" s="1"/>
      <c r="J16" s="1"/>
      <c r="K16" s="1"/>
      <c r="L16" s="1" t="s">
        <v>29</v>
      </c>
      <c r="M16" s="1">
        <v>4</v>
      </c>
      <c r="N16" s="1"/>
    </row>
    <row r="17" spans="2:14" x14ac:dyDescent="0.3">
      <c r="B17" s="1" t="s">
        <v>8</v>
      </c>
      <c r="C17" s="1">
        <v>0</v>
      </c>
      <c r="D17" s="1">
        <f>C17+1</f>
        <v>1</v>
      </c>
      <c r="E17" s="1">
        <f t="shared" ref="E17:H17" si="0">D17+1</f>
        <v>2</v>
      </c>
      <c r="F17" s="1">
        <f t="shared" si="0"/>
        <v>3</v>
      </c>
      <c r="G17" s="1">
        <f t="shared" si="0"/>
        <v>4</v>
      </c>
      <c r="H17" s="1">
        <f t="shared" si="0"/>
        <v>5</v>
      </c>
      <c r="I17" s="1"/>
      <c r="J17" s="1"/>
      <c r="K17" s="1"/>
      <c r="L17" s="1"/>
      <c r="M17" s="1"/>
      <c r="N17" s="1"/>
    </row>
    <row r="18" spans="2:14" x14ac:dyDescent="0.3">
      <c r="B18" s="1" t="s">
        <v>9</v>
      </c>
      <c r="C18" s="1"/>
      <c r="D18" s="2">
        <v>0.08</v>
      </c>
      <c r="E18" s="4">
        <f>D18-2%</f>
        <v>0.06</v>
      </c>
      <c r="F18" s="4">
        <f t="shared" ref="F18:H18" si="1">E18-2%</f>
        <v>3.9999999999999994E-2</v>
      </c>
      <c r="G18" s="4">
        <f t="shared" si="1"/>
        <v>1.9999999999999993E-2</v>
      </c>
      <c r="H18" s="4">
        <f t="shared" si="1"/>
        <v>0</v>
      </c>
      <c r="I18" s="1"/>
      <c r="J18" s="1"/>
      <c r="K18" s="1"/>
      <c r="L18" s="1"/>
      <c r="M18" s="1"/>
      <c r="N18" s="1"/>
    </row>
    <row r="19" spans="2:14" x14ac:dyDescent="0.3">
      <c r="B19" s="1" t="s">
        <v>11</v>
      </c>
      <c r="C19" s="2"/>
      <c r="D19" s="2">
        <v>0.1</v>
      </c>
      <c r="E19" s="2">
        <v>0.1</v>
      </c>
      <c r="F19" s="2">
        <v>0.12</v>
      </c>
      <c r="G19" s="2">
        <v>0.12</v>
      </c>
      <c r="H19" s="2">
        <v>0.12</v>
      </c>
      <c r="I19" s="1"/>
      <c r="J19" s="1"/>
      <c r="K19" s="1"/>
      <c r="L19" s="1"/>
      <c r="M19" s="1"/>
      <c r="N19" s="1"/>
    </row>
    <row r="20" spans="2:14" x14ac:dyDescent="0.3">
      <c r="B20" t="s">
        <v>15</v>
      </c>
      <c r="C20" s="1"/>
      <c r="D20" s="1">
        <v>7</v>
      </c>
      <c r="E20" s="1">
        <f>D20+1</f>
        <v>8</v>
      </c>
      <c r="F20" s="1">
        <f t="shared" ref="F20:G20" si="2">E20+1</f>
        <v>9</v>
      </c>
      <c r="G20" s="1">
        <f t="shared" si="2"/>
        <v>10</v>
      </c>
      <c r="H20" s="1">
        <f>G20</f>
        <v>10</v>
      </c>
      <c r="I20" s="1" t="s">
        <v>16</v>
      </c>
      <c r="J20" s="1"/>
      <c r="K20" s="1"/>
      <c r="L20" s="1"/>
      <c r="M20" s="1"/>
      <c r="N20" s="1"/>
    </row>
    <row r="21" spans="2:14" x14ac:dyDescent="0.3">
      <c r="B21" s="1" t="s">
        <v>20</v>
      </c>
      <c r="C21" s="1"/>
      <c r="D21" s="2">
        <v>0.08</v>
      </c>
      <c r="E21" s="2">
        <v>0.06</v>
      </c>
      <c r="F21" s="2">
        <v>0.06</v>
      </c>
      <c r="G21" s="2">
        <v>0.04</v>
      </c>
      <c r="H21" s="2">
        <v>0</v>
      </c>
      <c r="I21" s="1"/>
      <c r="J21" s="1"/>
      <c r="K21" s="1"/>
      <c r="L21" s="1"/>
      <c r="M21" s="1"/>
      <c r="N21" s="1"/>
    </row>
    <row r="22" spans="2:14" x14ac:dyDescent="0.3">
      <c r="B22" s="1" t="s">
        <v>21</v>
      </c>
      <c r="C22" s="1"/>
      <c r="D22" s="1">
        <f>D20</f>
        <v>7</v>
      </c>
      <c r="E22" s="1">
        <f t="shared" ref="E22:H22" si="3">E20</f>
        <v>8</v>
      </c>
      <c r="F22" s="1">
        <f t="shared" si="3"/>
        <v>9</v>
      </c>
      <c r="G22" s="1">
        <f t="shared" si="3"/>
        <v>10</v>
      </c>
      <c r="H22" s="1">
        <f t="shared" si="3"/>
        <v>10</v>
      </c>
      <c r="I22" s="1"/>
      <c r="J22" s="1"/>
      <c r="K22" s="1"/>
      <c r="L22" s="1"/>
      <c r="M22" s="1"/>
      <c r="N22" s="1"/>
    </row>
    <row r="23" spans="2:14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4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mergeCells count="1">
    <mergeCell ref="B2:N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6DC7E-1EA6-4508-BCE0-D3AB91844265}">
  <dimension ref="B1:H19"/>
  <sheetViews>
    <sheetView tabSelected="1" zoomScale="155" workbookViewId="0">
      <selection activeCell="K17" sqref="K17"/>
    </sheetView>
  </sheetViews>
  <sheetFormatPr defaultRowHeight="14.4" x14ac:dyDescent="0.3"/>
  <cols>
    <col min="1" max="1" width="2.77734375" customWidth="1"/>
    <col min="2" max="2" width="17.44140625" bestFit="1" customWidth="1"/>
    <col min="3" max="3" width="9.77734375" customWidth="1"/>
    <col min="4" max="4" width="14.6640625" bestFit="1" customWidth="1"/>
    <col min="5" max="6" width="13.6640625" bestFit="1" customWidth="1"/>
    <col min="7" max="7" width="11.88671875" customWidth="1"/>
    <col min="8" max="8" width="10.5546875" customWidth="1"/>
  </cols>
  <sheetData>
    <row r="1" spans="2:8" ht="15" thickBot="1" x14ac:dyDescent="0.35"/>
    <row r="2" spans="2:8" x14ac:dyDescent="0.3">
      <c r="B2" s="33" t="s">
        <v>1</v>
      </c>
      <c r="C2" s="34" t="s">
        <v>10</v>
      </c>
      <c r="D2" s="114" t="s">
        <v>2</v>
      </c>
      <c r="E2" s="115"/>
      <c r="F2" s="115"/>
      <c r="G2" s="116"/>
      <c r="H2" s="35" t="s">
        <v>3</v>
      </c>
    </row>
    <row r="3" spans="2:8" x14ac:dyDescent="0.3">
      <c r="B3" s="24" t="s">
        <v>4</v>
      </c>
      <c r="C3">
        <v>0</v>
      </c>
      <c r="D3" s="13">
        <f>C3+1</f>
        <v>1</v>
      </c>
      <c r="E3">
        <f t="shared" ref="E3:H3" si="0">D3+1</f>
        <v>2</v>
      </c>
      <c r="F3">
        <f t="shared" si="0"/>
        <v>3</v>
      </c>
      <c r="G3" s="14">
        <f>F3+1</f>
        <v>4</v>
      </c>
      <c r="H3" s="27">
        <f t="shared" si="0"/>
        <v>5</v>
      </c>
    </row>
    <row r="4" spans="2:8" x14ac:dyDescent="0.3">
      <c r="B4" s="24" t="s">
        <v>5</v>
      </c>
      <c r="C4" s="7">
        <f>'Chp 13 TYU 1'!C15</f>
        <v>500</v>
      </c>
      <c r="D4" s="20">
        <f>C4*(1+'Chp 13 TYU 1'!D18)</f>
        <v>540</v>
      </c>
      <c r="E4" s="7">
        <f>D4*(1+'Chp 13 TYU 1'!E18)</f>
        <v>572.4</v>
      </c>
      <c r="F4" s="7">
        <f>E4*(1+'Chp 13 TYU 1'!F18)</f>
        <v>595.29600000000005</v>
      </c>
      <c r="G4" s="15">
        <f>F4*(1+'Chp 13 TYU 1'!G18)</f>
        <v>607.20192000000009</v>
      </c>
      <c r="H4" s="26">
        <f>G4*(1+'Chp 13 TYU 1'!H18)</f>
        <v>607.20192000000009</v>
      </c>
    </row>
    <row r="5" spans="2:8" x14ac:dyDescent="0.3">
      <c r="B5" s="24" t="s">
        <v>11</v>
      </c>
      <c r="D5" s="21">
        <f>D4*'Chp 13 TYU 1'!D19</f>
        <v>54</v>
      </c>
      <c r="E5" s="6">
        <f>E4*'Chp 13 TYU 1'!E19</f>
        <v>57.24</v>
      </c>
      <c r="F5" s="6">
        <f>F4*'Chp 13 TYU 1'!F19</f>
        <v>71.435519999999997</v>
      </c>
      <c r="G5" s="16">
        <f>G4*'Chp 13 TYU 1'!G19</f>
        <v>72.864230400000011</v>
      </c>
      <c r="H5" s="25">
        <f>H4*'Chp 13 TYU 1'!H19</f>
        <v>72.864230400000011</v>
      </c>
    </row>
    <row r="6" spans="2:8" x14ac:dyDescent="0.3">
      <c r="B6" s="24" t="s">
        <v>12</v>
      </c>
      <c r="D6" s="21">
        <f>-D5*'Chp 13 TYU 1'!$F$15</f>
        <v>-16.2</v>
      </c>
      <c r="E6" s="6">
        <f>-E5*'Chp 13 TYU 1'!$F$15</f>
        <v>-17.172000000000001</v>
      </c>
      <c r="F6" s="6">
        <f>-F5*'Chp 13 TYU 1'!$F$15</f>
        <v>-21.430655999999999</v>
      </c>
      <c r="G6" s="16">
        <f>-G5*'Chp 13 TYU 1'!$F$15</f>
        <v>-21.859269120000004</v>
      </c>
      <c r="H6" s="25">
        <f>-H5*'Chp 13 TYU 1'!$F$15</f>
        <v>-21.859269120000004</v>
      </c>
    </row>
    <row r="7" spans="2:8" x14ac:dyDescent="0.3">
      <c r="B7" s="24" t="s">
        <v>15</v>
      </c>
      <c r="C7" s="8"/>
      <c r="D7" s="19">
        <f>'Chp 13 TYU 1'!D20</f>
        <v>7</v>
      </c>
      <c r="E7" s="8">
        <f>'Chp 13 TYU 1'!E20</f>
        <v>8</v>
      </c>
      <c r="F7" s="8">
        <f>'Chp 13 TYU 1'!F20</f>
        <v>9</v>
      </c>
      <c r="G7" s="17">
        <f>'Chp 13 TYU 1'!G20</f>
        <v>10</v>
      </c>
      <c r="H7" s="28">
        <f>'Chp 13 TYU 1'!H20</f>
        <v>10</v>
      </c>
    </row>
    <row r="8" spans="2:8" x14ac:dyDescent="0.3">
      <c r="B8" s="24" t="s">
        <v>17</v>
      </c>
      <c r="D8" s="21">
        <f>SUM(D5:D7)</f>
        <v>44.8</v>
      </c>
      <c r="E8" s="6">
        <f t="shared" ref="E8:H8" si="1">SUM(E5:E7)</f>
        <v>48.067999999999998</v>
      </c>
      <c r="F8" s="6">
        <f t="shared" si="1"/>
        <v>59.004863999999998</v>
      </c>
      <c r="G8" s="16">
        <f t="shared" si="1"/>
        <v>61.004961280000003</v>
      </c>
      <c r="H8" s="25">
        <f t="shared" si="1"/>
        <v>61.004961280000003</v>
      </c>
    </row>
    <row r="9" spans="2:8" x14ac:dyDescent="0.3">
      <c r="B9" s="24" t="s">
        <v>19</v>
      </c>
      <c r="D9" s="13">
        <f>-'Chp 13 TYU 1'!D22</f>
        <v>-7</v>
      </c>
      <c r="E9">
        <f>-'Chp 13 TYU 1'!E22</f>
        <v>-8</v>
      </c>
      <c r="F9">
        <f>-'Chp 13 TYU 1'!F22</f>
        <v>-9</v>
      </c>
      <c r="G9" s="14">
        <f>-'Chp 13 TYU 1'!G22</f>
        <v>-10</v>
      </c>
      <c r="H9" s="27">
        <f>-'Chp 13 TYU 1'!H22</f>
        <v>-10</v>
      </c>
    </row>
    <row r="10" spans="2:8" x14ac:dyDescent="0.3">
      <c r="B10" s="24" t="s">
        <v>18</v>
      </c>
      <c r="D10" s="20">
        <f>-(D4-C4)*'Chp 13 TYU 1'!D21</f>
        <v>-3.2</v>
      </c>
      <c r="E10" s="7">
        <f>-(E4-D4)*'Chp 13 TYU 1'!E21</f>
        <v>-1.9439999999999986</v>
      </c>
      <c r="F10" s="7">
        <f>-(F4-E4)*'Chp 13 TYU 1'!F21</f>
        <v>-1.3737600000000043</v>
      </c>
      <c r="G10" s="15">
        <f>-(G4-F4)*'Chp 13 TYU 1'!G21</f>
        <v>-0.47623680000000151</v>
      </c>
      <c r="H10" s="26">
        <f>-(H4-G4)*'Chp 13 TYU 1'!H21</f>
        <v>0</v>
      </c>
    </row>
    <row r="11" spans="2:8" x14ac:dyDescent="0.3">
      <c r="B11" s="24" t="s">
        <v>1</v>
      </c>
      <c r="D11" s="21">
        <f>SUM(D8:D10)</f>
        <v>34.599999999999994</v>
      </c>
      <c r="E11" s="6">
        <f t="shared" ref="E11:H11" si="2">SUM(E8:E10)</f>
        <v>38.124000000000002</v>
      </c>
      <c r="F11" s="6">
        <f t="shared" si="2"/>
        <v>48.631103999999993</v>
      </c>
      <c r="G11" s="16">
        <f t="shared" si="2"/>
        <v>50.528724480000001</v>
      </c>
      <c r="H11" s="25">
        <f t="shared" si="2"/>
        <v>51.004961280000003</v>
      </c>
    </row>
    <row r="12" spans="2:8" x14ac:dyDescent="0.3">
      <c r="B12" s="24" t="s">
        <v>23</v>
      </c>
      <c r="D12" s="22">
        <f>1/(1+'Chp 13 TYU 1'!$J$15)^'Answer 1'!D3</f>
        <v>0.86956521739130443</v>
      </c>
      <c r="E12" s="29">
        <f>1/(1+'Chp 13 TYU 1'!$J$15)^'Answer 1'!E3</f>
        <v>0.7561436672967865</v>
      </c>
      <c r="F12" s="29">
        <f>1/(1+'Chp 13 TYU 1'!$J$15)^'Answer 1'!F3</f>
        <v>0.65751623243198831</v>
      </c>
      <c r="G12" s="18">
        <f>1/(1+'Chp 13 TYU 1'!$J$15)^'Answer 1'!G3</f>
        <v>0.57175324559303342</v>
      </c>
      <c r="H12" s="30">
        <f>G12</f>
        <v>0.57175324559303342</v>
      </c>
    </row>
    <row r="13" spans="2:8" ht="15" thickBot="1" x14ac:dyDescent="0.35">
      <c r="B13" s="31" t="s">
        <v>22</v>
      </c>
      <c r="C13" s="36"/>
      <c r="D13" s="37">
        <f>D11*D12</f>
        <v>30.086956521739129</v>
      </c>
      <c r="E13" s="38">
        <f t="shared" ref="E13:G13" si="3">E11*E12</f>
        <v>28.827221172022689</v>
      </c>
      <c r="F13" s="38">
        <f t="shared" si="3"/>
        <v>31.975740281088193</v>
      </c>
      <c r="G13" s="39">
        <f t="shared" si="3"/>
        <v>28.88996221711616</v>
      </c>
      <c r="H13" s="40">
        <f>G15*H12</f>
        <v>194.41501435458002</v>
      </c>
    </row>
    <row r="15" spans="2:8" x14ac:dyDescent="0.3">
      <c r="B15" s="9" t="s">
        <v>24</v>
      </c>
      <c r="C15" s="9"/>
      <c r="D15" s="10">
        <f>SUM(D13:H13)</f>
        <v>314.19489454654621</v>
      </c>
      <c r="F15" t="s">
        <v>31</v>
      </c>
      <c r="G15" s="6">
        <f>H11/'Chp 13 TYU 1'!J15</f>
        <v>340.03307520000004</v>
      </c>
    </row>
    <row r="16" spans="2:8" x14ac:dyDescent="0.3">
      <c r="B16" s="9" t="s">
        <v>25</v>
      </c>
      <c r="C16" s="9"/>
      <c r="D16" s="11">
        <f>'Chp 13 TYU 1'!M16</f>
        <v>4</v>
      </c>
    </row>
    <row r="17" spans="2:4" x14ac:dyDescent="0.3">
      <c r="B17" s="9" t="s">
        <v>26</v>
      </c>
      <c r="C17" s="9"/>
      <c r="D17" s="10">
        <f>SUM(D15:D16)</f>
        <v>318.19489454654621</v>
      </c>
    </row>
    <row r="18" spans="2:4" x14ac:dyDescent="0.3">
      <c r="B18" s="9" t="s">
        <v>27</v>
      </c>
      <c r="C18" s="9"/>
      <c r="D18" s="9">
        <f>-'Chp 13 TYU 1'!M15</f>
        <v>-48</v>
      </c>
    </row>
    <row r="19" spans="2:4" x14ac:dyDescent="0.3">
      <c r="B19" s="9" t="s">
        <v>30</v>
      </c>
      <c r="C19" s="9"/>
      <c r="D19" s="12">
        <f>SUM(D17:D18)</f>
        <v>270.19489454654621</v>
      </c>
    </row>
  </sheetData>
  <mergeCells count="1">
    <mergeCell ref="D2:G2"/>
  </mergeCells>
  <pageMargins left="0.7" right="0.7" top="0.75" bottom="0.75" header="0.3" footer="0.3"/>
  <ignoredErrors>
    <ignoredError sqref="D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C4395-5B3F-43B2-8DBF-E24F583E5BC5}">
  <dimension ref="B3:S26"/>
  <sheetViews>
    <sheetView topLeftCell="B1" zoomScale="132" workbookViewId="0">
      <selection activeCell="M30" sqref="M30"/>
    </sheetView>
  </sheetViews>
  <sheetFormatPr defaultRowHeight="14.4" x14ac:dyDescent="0.3"/>
  <cols>
    <col min="1" max="1" width="2.5546875" customWidth="1"/>
    <col min="10" max="10" width="14.44140625" customWidth="1"/>
    <col min="11" max="11" width="11.21875" customWidth="1"/>
    <col min="14" max="14" width="18.21875" bestFit="1" customWidth="1"/>
  </cols>
  <sheetData>
    <row r="3" spans="10:19" x14ac:dyDescent="0.3">
      <c r="K3" t="s">
        <v>33</v>
      </c>
      <c r="N3" t="s">
        <v>4</v>
      </c>
      <c r="O3">
        <v>0</v>
      </c>
      <c r="P3">
        <f>O3+1</f>
        <v>1</v>
      </c>
      <c r="Q3">
        <f t="shared" ref="Q3:S3" si="0">P3+1</f>
        <v>2</v>
      </c>
      <c r="R3">
        <f t="shared" si="0"/>
        <v>3</v>
      </c>
      <c r="S3">
        <f t="shared" si="0"/>
        <v>4</v>
      </c>
    </row>
    <row r="4" spans="10:19" x14ac:dyDescent="0.3">
      <c r="J4" t="s">
        <v>32</v>
      </c>
      <c r="K4">
        <v>285.10000000000002</v>
      </c>
      <c r="N4" t="s">
        <v>46</v>
      </c>
      <c r="O4" s="5" t="s">
        <v>48</v>
      </c>
      <c r="P4" s="5">
        <v>0.03</v>
      </c>
      <c r="Q4" s="5">
        <v>0.03</v>
      </c>
      <c r="R4" s="5">
        <v>0.03</v>
      </c>
      <c r="S4" s="5">
        <v>0</v>
      </c>
    </row>
    <row r="5" spans="10:19" x14ac:dyDescent="0.3">
      <c r="J5" t="s">
        <v>38</v>
      </c>
      <c r="K5">
        <v>-120.9</v>
      </c>
      <c r="N5" t="s">
        <v>47</v>
      </c>
      <c r="O5" t="s">
        <v>48</v>
      </c>
      <c r="P5" s="5">
        <v>0.05</v>
      </c>
      <c r="Q5" s="5">
        <v>0.05</v>
      </c>
      <c r="R5" s="5">
        <v>0.05</v>
      </c>
      <c r="S5" s="5">
        <v>0</v>
      </c>
    </row>
    <row r="6" spans="10:19" x14ac:dyDescent="0.3">
      <c r="K6">
        <f>SUM(K4:K5)</f>
        <v>164.20000000000002</v>
      </c>
    </row>
    <row r="7" spans="10:19" ht="14.4" customHeight="1" x14ac:dyDescent="0.3"/>
    <row r="8" spans="10:19" x14ac:dyDescent="0.3">
      <c r="J8" t="s">
        <v>39</v>
      </c>
      <c r="K8">
        <v>-66.900000000000006</v>
      </c>
    </row>
    <row r="9" spans="10:19" x14ac:dyDescent="0.3">
      <c r="J9" t="s">
        <v>34</v>
      </c>
      <c r="K9">
        <f>SUM(K6:K8)</f>
        <v>97.300000000000011</v>
      </c>
    </row>
    <row r="10" spans="10:19" x14ac:dyDescent="0.3">
      <c r="J10" t="s">
        <v>35</v>
      </c>
      <c r="K10">
        <v>-10</v>
      </c>
    </row>
    <row r="11" spans="10:19" x14ac:dyDescent="0.3">
      <c r="J11" t="s">
        <v>36</v>
      </c>
      <c r="K11">
        <f>SUM(K9:K10)</f>
        <v>87.300000000000011</v>
      </c>
    </row>
    <row r="12" spans="10:19" x14ac:dyDescent="0.3">
      <c r="J12" t="s">
        <v>12</v>
      </c>
      <c r="K12">
        <v>-21.6</v>
      </c>
    </row>
    <row r="13" spans="10:19" x14ac:dyDescent="0.3">
      <c r="J13" t="s">
        <v>37</v>
      </c>
      <c r="K13">
        <f>SUM(K11:K12)</f>
        <v>65.700000000000017</v>
      </c>
    </row>
    <row r="15" spans="10:19" x14ac:dyDescent="0.3">
      <c r="J15" t="s">
        <v>13</v>
      </c>
      <c r="K15" s="5">
        <v>0.09</v>
      </c>
      <c r="L15">
        <v>0.09</v>
      </c>
    </row>
    <row r="16" spans="10:19" x14ac:dyDescent="0.3">
      <c r="J16" t="s">
        <v>40</v>
      </c>
      <c r="K16" s="5">
        <v>0.12</v>
      </c>
      <c r="L16">
        <v>0.12</v>
      </c>
    </row>
    <row r="18" spans="2:15" x14ac:dyDescent="0.3">
      <c r="J18" t="s">
        <v>41</v>
      </c>
      <c r="K18">
        <v>500</v>
      </c>
      <c r="L18" t="s">
        <v>7</v>
      </c>
      <c r="O18" s="5"/>
    </row>
    <row r="19" spans="2:15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5" x14ac:dyDescent="0.3">
      <c r="B20" s="1"/>
      <c r="C20" s="1"/>
      <c r="D20" s="1"/>
      <c r="E20" s="1"/>
      <c r="F20" s="1"/>
      <c r="G20" s="1"/>
      <c r="H20" s="1"/>
      <c r="I20" s="1"/>
      <c r="J20" s="1" t="s">
        <v>42</v>
      </c>
      <c r="K20" s="2">
        <v>0.28000000000000003</v>
      </c>
      <c r="L20" s="1">
        <v>0.28000000000000003</v>
      </c>
      <c r="M20" s="1"/>
      <c r="N20" s="1"/>
    </row>
    <row r="21" spans="2:15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5" x14ac:dyDescent="0.3">
      <c r="B22" s="1"/>
      <c r="C22" s="1"/>
      <c r="D22" s="1"/>
      <c r="E22" s="1"/>
      <c r="F22" s="1"/>
      <c r="G22" s="1"/>
      <c r="H22" s="1"/>
      <c r="I22" s="1"/>
      <c r="J22" s="1" t="s">
        <v>43</v>
      </c>
      <c r="K22" s="1"/>
      <c r="L22" s="1"/>
      <c r="M22" s="1"/>
      <c r="N22" s="1"/>
    </row>
    <row r="23" spans="2:15" x14ac:dyDescent="0.3">
      <c r="B23" s="1"/>
      <c r="C23" s="1"/>
      <c r="D23" s="1"/>
      <c r="E23" s="1"/>
      <c r="F23" s="1"/>
      <c r="G23" s="1"/>
      <c r="H23" s="1"/>
      <c r="I23" s="1"/>
      <c r="J23" s="1" t="s">
        <v>44</v>
      </c>
      <c r="K23" s="1">
        <v>15</v>
      </c>
      <c r="L23" s="1" t="s">
        <v>7</v>
      </c>
      <c r="M23" s="1"/>
      <c r="N23" s="1"/>
    </row>
    <row r="24" spans="2:15" x14ac:dyDescent="0.3">
      <c r="B24" s="1"/>
      <c r="C24" s="1"/>
      <c r="D24" s="1"/>
      <c r="E24" s="1"/>
      <c r="F24" s="1"/>
      <c r="G24" s="1"/>
      <c r="H24" s="1"/>
      <c r="I24" s="1"/>
      <c r="J24" s="1" t="s">
        <v>45</v>
      </c>
      <c r="K24" s="1">
        <v>2</v>
      </c>
      <c r="L24" s="1" t="s">
        <v>7</v>
      </c>
      <c r="M24" s="1"/>
      <c r="N24" s="1"/>
    </row>
    <row r="25" spans="2:15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5" x14ac:dyDescent="0.3">
      <c r="J26" s="1" t="s">
        <v>53</v>
      </c>
      <c r="K26">
        <v>12.3</v>
      </c>
      <c r="L26" t="s">
        <v>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35AA1-182F-4DF2-B18E-B373D294CA4D}">
  <dimension ref="B1:F18"/>
  <sheetViews>
    <sheetView zoomScale="163" workbookViewId="0">
      <selection activeCell="D14" sqref="D14"/>
    </sheetView>
  </sheetViews>
  <sheetFormatPr defaultRowHeight="14.4" x14ac:dyDescent="0.3"/>
  <cols>
    <col min="1" max="1" width="3.109375" customWidth="1"/>
    <col min="2" max="2" width="18.88671875" bestFit="1" customWidth="1"/>
    <col min="3" max="3" width="11.5546875" bestFit="1" customWidth="1"/>
    <col min="4" max="4" width="12.33203125" bestFit="1" customWidth="1"/>
    <col min="5" max="6" width="11.5546875" bestFit="1" customWidth="1"/>
  </cols>
  <sheetData>
    <row r="1" spans="2:6" ht="15" thickBot="1" x14ac:dyDescent="0.35"/>
    <row r="2" spans="2:6" x14ac:dyDescent="0.3">
      <c r="B2" s="41" t="s">
        <v>4</v>
      </c>
      <c r="C2" s="43">
        <v>0</v>
      </c>
      <c r="D2" s="42">
        <f>C2+1</f>
        <v>1</v>
      </c>
      <c r="E2" s="42">
        <f t="shared" ref="E2:F2" si="0">D2+1</f>
        <v>2</v>
      </c>
      <c r="F2" s="49">
        <f t="shared" si="0"/>
        <v>3</v>
      </c>
    </row>
    <row r="3" spans="2:6" x14ac:dyDescent="0.3">
      <c r="B3" s="24" t="s">
        <v>5</v>
      </c>
      <c r="C3" s="44">
        <f>'TYU 2'!K4</f>
        <v>285.10000000000002</v>
      </c>
      <c r="D3" s="6">
        <f>C3*(1+'TYU 2'!P4)*(1+'TYU 2'!P5)</f>
        <v>308.33565000000004</v>
      </c>
      <c r="E3" s="6">
        <f>D3*(1+'TYU 2'!Q4)*(1+'TYU 2'!Q5)</f>
        <v>333.46500547500005</v>
      </c>
      <c r="F3" s="50">
        <f>E3*(1+'TYU 2'!R4)*(1+'TYU 2'!R5)</f>
        <v>360.64240342121258</v>
      </c>
    </row>
    <row r="4" spans="2:6" x14ac:dyDescent="0.3">
      <c r="B4" s="24" t="s">
        <v>38</v>
      </c>
      <c r="C4" s="45">
        <f>'TYU 2'!K5</f>
        <v>-120.9</v>
      </c>
      <c r="D4" s="7">
        <f>C4*(1+'TYU 2'!P5)</f>
        <v>-126.94500000000001</v>
      </c>
      <c r="E4" s="7">
        <f>D4*(1+'TYU 2'!Q5)</f>
        <v>-133.29225000000002</v>
      </c>
      <c r="F4" s="51">
        <f>E4*(1+'TYU 2'!R5)</f>
        <v>-139.95686250000003</v>
      </c>
    </row>
    <row r="5" spans="2:6" x14ac:dyDescent="0.3">
      <c r="B5" s="24"/>
      <c r="C5" s="44">
        <f>SUM(C3:C4)</f>
        <v>164.20000000000002</v>
      </c>
      <c r="D5" s="6">
        <f t="shared" ref="D5:F5" si="1">SUM(D3:D4)</f>
        <v>181.39065000000005</v>
      </c>
      <c r="E5" s="6">
        <f t="shared" si="1"/>
        <v>200.17275547500003</v>
      </c>
      <c r="F5" s="50">
        <f t="shared" si="1"/>
        <v>220.68554092121255</v>
      </c>
    </row>
    <row r="6" spans="2:6" x14ac:dyDescent="0.3">
      <c r="B6" s="24" t="s">
        <v>49</v>
      </c>
      <c r="C6" s="44">
        <f>'TYU 2'!$K$8</f>
        <v>-66.900000000000006</v>
      </c>
      <c r="D6">
        <f>'TYU 2'!$K$8</f>
        <v>-66.900000000000006</v>
      </c>
      <c r="E6">
        <f>'TYU 2'!$K$8</f>
        <v>-66.900000000000006</v>
      </c>
      <c r="F6" s="52">
        <f>'TYU 2'!$K$8</f>
        <v>-66.900000000000006</v>
      </c>
    </row>
    <row r="7" spans="2:6" x14ac:dyDescent="0.3">
      <c r="B7" s="24" t="s">
        <v>50</v>
      </c>
      <c r="C7" s="45">
        <f>'TYU 2'!$K$10</f>
        <v>-10</v>
      </c>
      <c r="D7" s="8">
        <f>'TYU 2'!$K$10</f>
        <v>-10</v>
      </c>
      <c r="E7" s="8">
        <f>'TYU 2'!$K$10</f>
        <v>-10</v>
      </c>
      <c r="F7" s="53">
        <f>'TYU 2'!$K$10</f>
        <v>-10</v>
      </c>
    </row>
    <row r="8" spans="2:6" x14ac:dyDescent="0.3">
      <c r="B8" s="24"/>
      <c r="C8" s="46">
        <f>SUM(C5:C7)</f>
        <v>87.300000000000011</v>
      </c>
      <c r="D8" s="6">
        <f t="shared" ref="D8:F8" si="2">SUM(D5:D7)</f>
        <v>104.49065000000004</v>
      </c>
      <c r="E8" s="6">
        <f t="shared" si="2"/>
        <v>123.27275547500003</v>
      </c>
      <c r="F8" s="50">
        <f t="shared" si="2"/>
        <v>143.78554092121254</v>
      </c>
    </row>
    <row r="9" spans="2:6" x14ac:dyDescent="0.3">
      <c r="B9" s="24" t="s">
        <v>51</v>
      </c>
      <c r="C9" s="46">
        <f>-C8*'TYU 2'!$L$20</f>
        <v>-24.444000000000006</v>
      </c>
      <c r="D9" s="6">
        <f>-D8*'TYU 2'!$L$20</f>
        <v>-29.257382000000014</v>
      </c>
      <c r="E9" s="6">
        <f>-E8*'TYU 2'!$L$20</f>
        <v>-34.516371533000012</v>
      </c>
      <c r="F9" s="50">
        <f>-F8*'TYU 2'!$L$20</f>
        <v>-40.259951457939515</v>
      </c>
    </row>
    <row r="10" spans="2:6" x14ac:dyDescent="0.3">
      <c r="B10" s="24" t="s">
        <v>52</v>
      </c>
      <c r="C10" s="44">
        <f>'TYU 2'!$K$26</f>
        <v>12.3</v>
      </c>
      <c r="D10">
        <f>'TYU 2'!$K$26</f>
        <v>12.3</v>
      </c>
      <c r="E10">
        <f>'TYU 2'!$K$26</f>
        <v>12.3</v>
      </c>
      <c r="F10" s="52">
        <f>'TYU 2'!$K$26</f>
        <v>12.3</v>
      </c>
    </row>
    <row r="11" spans="2:6" x14ac:dyDescent="0.3">
      <c r="B11" s="24" t="s">
        <v>54</v>
      </c>
      <c r="C11" s="44">
        <f>-'TYU 2'!$K$23</f>
        <v>-15</v>
      </c>
      <c r="D11">
        <f>-'TYU 2'!$K$23</f>
        <v>-15</v>
      </c>
      <c r="E11">
        <f>-'TYU 2'!$K$23</f>
        <v>-15</v>
      </c>
      <c r="F11" s="52">
        <f>-'TYU 2'!$K$23</f>
        <v>-15</v>
      </c>
    </row>
    <row r="12" spans="2:6" x14ac:dyDescent="0.3">
      <c r="B12" s="24" t="s">
        <v>55</v>
      </c>
      <c r="C12" s="45">
        <f>-'TYU 2'!$K$24</f>
        <v>-2</v>
      </c>
      <c r="D12" s="8">
        <f>-'TYU 2'!$K$24</f>
        <v>-2</v>
      </c>
      <c r="E12" s="8">
        <f>-'TYU 2'!$K$24</f>
        <v>-2</v>
      </c>
      <c r="F12" s="53">
        <f>-'TYU 2'!$K$24</f>
        <v>-2</v>
      </c>
    </row>
    <row r="13" spans="2:6" x14ac:dyDescent="0.3">
      <c r="B13" s="24" t="s">
        <v>57</v>
      </c>
      <c r="C13" s="46">
        <f>SUM(C8:C12)</f>
        <v>58.156000000000006</v>
      </c>
      <c r="D13" s="6">
        <f t="shared" ref="D13:F13" si="3">SUM(D8:D12)</f>
        <v>70.533268000000035</v>
      </c>
      <c r="E13" s="6">
        <f t="shared" si="3"/>
        <v>84.056383942000011</v>
      </c>
      <c r="F13" s="50">
        <f t="shared" si="3"/>
        <v>98.825589463273033</v>
      </c>
    </row>
    <row r="14" spans="2:6" x14ac:dyDescent="0.3">
      <c r="B14" s="24" t="s">
        <v>56</v>
      </c>
      <c r="C14" s="47">
        <f>1/(1+'TYU 2'!$L$16)^'Answer 2'!C2</f>
        <v>1</v>
      </c>
      <c r="D14" s="29">
        <f>1/(1+'TYU 2'!$L$16)^'Answer 2'!D2</f>
        <v>0.89285714285714279</v>
      </c>
      <c r="E14" s="29">
        <f>1/(1+'TYU 2'!$L$16)^'Answer 2'!E2</f>
        <v>0.79719387755102034</v>
      </c>
      <c r="F14" s="54">
        <f>E14</f>
        <v>0.79719387755102034</v>
      </c>
    </row>
    <row r="15" spans="2:6" ht="15" thickBot="1" x14ac:dyDescent="0.35">
      <c r="B15" s="31" t="s">
        <v>22</v>
      </c>
      <c r="C15" s="48">
        <f>C14*C13</f>
        <v>58.156000000000006</v>
      </c>
      <c r="D15" s="32">
        <f t="shared" ref="D15:E15" si="4">D14*D13</f>
        <v>62.976132142857168</v>
      </c>
      <c r="E15" s="32">
        <f t="shared" si="4"/>
        <v>67.009234647640312</v>
      </c>
      <c r="F15" s="55">
        <f>F18*F14</f>
        <v>656.52629054576573</v>
      </c>
    </row>
    <row r="18" spans="2:6" x14ac:dyDescent="0.3">
      <c r="B18" s="57" t="s">
        <v>59</v>
      </c>
      <c r="C18" s="58">
        <f>SUM(D15:F15)</f>
        <v>786.51165733626317</v>
      </c>
      <c r="D18" t="s">
        <v>7</v>
      </c>
      <c r="E18" t="s">
        <v>58</v>
      </c>
      <c r="F18" s="23">
        <f>F13/'TYU 2'!L16</f>
        <v>823.54657886060863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E3C79-B0E3-4E65-B229-1EF469E25178}">
  <dimension ref="B1:J10"/>
  <sheetViews>
    <sheetView zoomScale="145" workbookViewId="0">
      <selection activeCell="C10" sqref="C10"/>
    </sheetView>
  </sheetViews>
  <sheetFormatPr defaultRowHeight="14.4" x14ac:dyDescent="0.3"/>
  <cols>
    <col min="1" max="1" width="2.88671875" customWidth="1"/>
    <col min="2" max="2" width="11.109375" bestFit="1" customWidth="1"/>
  </cols>
  <sheetData>
    <row r="1" spans="2:10" ht="15" thickBot="1" x14ac:dyDescent="0.35"/>
    <row r="2" spans="2:10" x14ac:dyDescent="0.3">
      <c r="B2" s="106" t="s">
        <v>60</v>
      </c>
      <c r="C2" s="107"/>
      <c r="D2" s="107"/>
      <c r="E2" s="107"/>
      <c r="F2" s="107"/>
      <c r="G2" s="107"/>
      <c r="H2" s="107"/>
      <c r="I2" s="107"/>
      <c r="J2" s="108"/>
    </row>
    <row r="3" spans="2:10" x14ac:dyDescent="0.3">
      <c r="B3" s="109"/>
      <c r="C3" s="105"/>
      <c r="D3" s="105"/>
      <c r="E3" s="105"/>
      <c r="F3" s="105"/>
      <c r="G3" s="105"/>
      <c r="H3" s="105"/>
      <c r="I3" s="105"/>
      <c r="J3" s="110"/>
    </row>
    <row r="4" spans="2:10" x14ac:dyDescent="0.3">
      <c r="B4" s="109"/>
      <c r="C4" s="105"/>
      <c r="D4" s="105"/>
      <c r="E4" s="105"/>
      <c r="F4" s="105"/>
      <c r="G4" s="105"/>
      <c r="H4" s="105"/>
      <c r="I4" s="105"/>
      <c r="J4" s="110"/>
    </row>
    <row r="5" spans="2:10" x14ac:dyDescent="0.3">
      <c r="B5" s="109"/>
      <c r="C5" s="105"/>
      <c r="D5" s="105"/>
      <c r="E5" s="105"/>
      <c r="F5" s="105"/>
      <c r="G5" s="105"/>
      <c r="H5" s="105"/>
      <c r="I5" s="105"/>
      <c r="J5" s="110"/>
    </row>
    <row r="6" spans="2:10" ht="15" thickBot="1" x14ac:dyDescent="0.35">
      <c r="B6" s="111"/>
      <c r="C6" s="112"/>
      <c r="D6" s="112"/>
      <c r="E6" s="112"/>
      <c r="F6" s="112"/>
      <c r="G6" s="112"/>
      <c r="H6" s="112"/>
      <c r="I6" s="112"/>
      <c r="J6" s="113"/>
    </row>
    <row r="8" spans="2:10" x14ac:dyDescent="0.3">
      <c r="B8" t="s">
        <v>61</v>
      </c>
      <c r="C8">
        <v>32</v>
      </c>
      <c r="D8" t="s">
        <v>62</v>
      </c>
      <c r="E8">
        <v>0.32</v>
      </c>
    </row>
    <row r="9" spans="2:10" x14ac:dyDescent="0.3">
      <c r="B9" t="s">
        <v>63</v>
      </c>
      <c r="C9" s="5">
        <v>0.16</v>
      </c>
      <c r="D9">
        <v>0.16</v>
      </c>
    </row>
    <row r="10" spans="2:10" x14ac:dyDescent="0.3">
      <c r="B10" t="s">
        <v>64</v>
      </c>
      <c r="C10" s="5">
        <v>0.04</v>
      </c>
      <c r="D10">
        <v>0.04</v>
      </c>
    </row>
  </sheetData>
  <mergeCells count="1">
    <mergeCell ref="B2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2EE31-0E9D-4CEC-A822-BC4505F1B995}">
  <dimension ref="B3:G9"/>
  <sheetViews>
    <sheetView zoomScale="192" workbookViewId="0">
      <selection activeCell="G8" sqref="G8"/>
    </sheetView>
  </sheetViews>
  <sheetFormatPr defaultRowHeight="14.4" x14ac:dyDescent="0.3"/>
  <cols>
    <col min="1" max="1" width="2.5546875" customWidth="1"/>
    <col min="2" max="2" width="17.77734375" bestFit="1" customWidth="1"/>
  </cols>
  <sheetData>
    <row r="3" spans="2:7" x14ac:dyDescent="0.3">
      <c r="C3" t="s">
        <v>10</v>
      </c>
      <c r="D3" s="117"/>
      <c r="E3" s="117"/>
      <c r="F3" s="117"/>
      <c r="G3" t="s">
        <v>3</v>
      </c>
    </row>
    <row r="4" spans="2:7" x14ac:dyDescent="0.3">
      <c r="B4" s="59" t="s">
        <v>4</v>
      </c>
      <c r="C4" s="59">
        <v>0</v>
      </c>
      <c r="D4" s="59">
        <f>C4+1</f>
        <v>1</v>
      </c>
      <c r="E4" s="59">
        <f t="shared" ref="E4:F4" si="0">D4+1</f>
        <v>2</v>
      </c>
      <c r="F4" s="59">
        <f t="shared" si="0"/>
        <v>3</v>
      </c>
      <c r="G4" s="59">
        <f>F4+1</f>
        <v>4</v>
      </c>
    </row>
    <row r="5" spans="2:7" x14ac:dyDescent="0.3">
      <c r="B5" s="60" t="s">
        <v>65</v>
      </c>
      <c r="C5" s="60">
        <f>'TYU 3'!$E$8</f>
        <v>0.32</v>
      </c>
      <c r="D5" s="60">
        <f>'TYU 3'!$E$8</f>
        <v>0.32</v>
      </c>
      <c r="E5" s="60">
        <f>'TYU 3'!$E$8</f>
        <v>0.32</v>
      </c>
      <c r="F5" s="60">
        <f>'TYU 3'!$E$8</f>
        <v>0.32</v>
      </c>
      <c r="G5" s="60">
        <f>F5*(1+'TYU 3'!D10)</f>
        <v>0.33280000000000004</v>
      </c>
    </row>
    <row r="6" spans="2:7" x14ac:dyDescent="0.3">
      <c r="B6" s="60" t="s">
        <v>56</v>
      </c>
      <c r="C6" s="61">
        <f>1/(1+'TYU 3'!$C$9)^'Answer 3'!C4</f>
        <v>1</v>
      </c>
      <c r="D6" s="61">
        <f>1/(1+'TYU 3'!$C$9)^'Answer 3'!D4</f>
        <v>0.86206896551724144</v>
      </c>
      <c r="E6" s="61">
        <f>1/(1+'TYU 3'!$C$9)^'Answer 3'!E4</f>
        <v>0.74316290130796681</v>
      </c>
      <c r="F6" s="61">
        <f>1/(1+'TYU 3'!$C$9)^'Answer 3'!F4</f>
        <v>0.64065767354135073</v>
      </c>
      <c r="G6" s="61">
        <f>F6</f>
        <v>0.64065767354135073</v>
      </c>
    </row>
    <row r="7" spans="2:7" x14ac:dyDescent="0.3">
      <c r="B7" s="60" t="s">
        <v>22</v>
      </c>
      <c r="C7" s="62">
        <f>C6*C5</f>
        <v>0.32</v>
      </c>
      <c r="D7" s="62">
        <f t="shared" ref="D7:F7" si="1">D6*D5</f>
        <v>0.27586206896551729</v>
      </c>
      <c r="E7" s="62">
        <f t="shared" si="1"/>
        <v>0.23781212841854937</v>
      </c>
      <c r="F7" s="62">
        <f t="shared" si="1"/>
        <v>0.20501045553323224</v>
      </c>
      <c r="G7" s="62">
        <f>G9*G6</f>
        <v>1.776757281288013</v>
      </c>
    </row>
    <row r="9" spans="2:7" x14ac:dyDescent="0.3">
      <c r="B9" t="s">
        <v>66</v>
      </c>
      <c r="C9" s="56">
        <f>SUM(D7:G7)</f>
        <v>2.4954419342053118</v>
      </c>
      <c r="F9" t="s">
        <v>58</v>
      </c>
      <c r="G9">
        <f>G5/('TYU 3'!D9-'TYU 3'!D10)</f>
        <v>2.7733333333333339</v>
      </c>
    </row>
  </sheetData>
  <mergeCells count="1">
    <mergeCell ref="D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522E8-EAE6-427E-98BF-34AD066FF062}">
  <dimension ref="B2:Q47"/>
  <sheetViews>
    <sheetView zoomScale="112" workbookViewId="0">
      <selection activeCell="L33" sqref="L33"/>
    </sheetView>
  </sheetViews>
  <sheetFormatPr defaultRowHeight="14.4" x14ac:dyDescent="0.3"/>
  <cols>
    <col min="1" max="1" width="3.109375" customWidth="1"/>
    <col min="2" max="2" width="15.88671875" customWidth="1"/>
    <col min="12" max="12" width="10.77734375" bestFit="1" customWidth="1"/>
    <col min="15" max="15" width="12.21875" bestFit="1" customWidth="1"/>
    <col min="16" max="16" width="9" bestFit="1" customWidth="1"/>
  </cols>
  <sheetData>
    <row r="2" spans="2:17" x14ac:dyDescent="0.3">
      <c r="B2" s="105" t="s">
        <v>67</v>
      </c>
      <c r="C2" s="105"/>
      <c r="D2" s="105"/>
      <c r="E2" s="105"/>
      <c r="F2" s="105"/>
      <c r="G2" s="105"/>
      <c r="H2" s="105"/>
      <c r="I2" s="1"/>
      <c r="J2" s="1"/>
    </row>
    <row r="3" spans="2:17" x14ac:dyDescent="0.3">
      <c r="B3" s="105"/>
      <c r="C3" s="105"/>
      <c r="D3" s="105"/>
      <c r="E3" s="105"/>
      <c r="F3" s="105"/>
      <c r="G3" s="105"/>
      <c r="H3" s="105"/>
      <c r="I3" s="1"/>
      <c r="J3" s="1"/>
    </row>
    <row r="4" spans="2:17" x14ac:dyDescent="0.3">
      <c r="B4" s="105"/>
      <c r="C4" s="105"/>
      <c r="D4" s="105"/>
      <c r="E4" s="105"/>
      <c r="F4" s="105"/>
      <c r="G4" s="105"/>
      <c r="H4" s="105"/>
      <c r="I4" s="1"/>
      <c r="J4" s="1"/>
    </row>
    <row r="5" spans="2:17" x14ac:dyDescent="0.3">
      <c r="B5" s="105"/>
      <c r="C5" s="105"/>
      <c r="D5" s="105"/>
      <c r="E5" s="105"/>
      <c r="F5" s="105"/>
      <c r="G5" s="105"/>
      <c r="H5" s="105"/>
      <c r="I5" s="1"/>
      <c r="J5" s="1"/>
    </row>
    <row r="7" spans="2:17" ht="15" thickBot="1" x14ac:dyDescent="0.35">
      <c r="B7" s="63" t="s">
        <v>68</v>
      </c>
      <c r="C7" s="63"/>
      <c r="D7" s="63"/>
      <c r="E7" s="63"/>
      <c r="F7" s="63"/>
      <c r="G7" s="63"/>
      <c r="H7" s="63"/>
      <c r="I7" s="118" t="s">
        <v>97</v>
      </c>
      <c r="J7" s="118"/>
      <c r="K7" s="118"/>
      <c r="L7" s="118"/>
    </row>
    <row r="8" spans="2:17" x14ac:dyDescent="0.3">
      <c r="B8" s="121" t="s">
        <v>69</v>
      </c>
      <c r="C8" s="122"/>
      <c r="D8" s="122"/>
      <c r="E8" s="66"/>
      <c r="F8" s="66" t="s">
        <v>70</v>
      </c>
      <c r="G8" s="67" t="s">
        <v>71</v>
      </c>
    </row>
    <row r="9" spans="2:17" x14ac:dyDescent="0.3">
      <c r="B9" s="24" t="s">
        <v>72</v>
      </c>
      <c r="F9">
        <v>840</v>
      </c>
      <c r="G9" s="27">
        <v>830</v>
      </c>
      <c r="I9" s="119" t="s">
        <v>100</v>
      </c>
      <c r="J9" s="120"/>
      <c r="K9" s="91"/>
      <c r="L9" s="91"/>
      <c r="M9" s="91"/>
      <c r="N9" s="92" t="s">
        <v>106</v>
      </c>
      <c r="O9" s="92" t="s">
        <v>70</v>
      </c>
      <c r="P9" s="92" t="s">
        <v>71</v>
      </c>
      <c r="Q9" s="93" t="s">
        <v>108</v>
      </c>
    </row>
    <row r="10" spans="2:17" x14ac:dyDescent="0.3">
      <c r="B10" s="24" t="s">
        <v>73</v>
      </c>
      <c r="F10">
        <v>554</v>
      </c>
      <c r="G10" s="27">
        <v>591</v>
      </c>
      <c r="I10" s="13" t="s">
        <v>98</v>
      </c>
      <c r="O10" s="76">
        <f>F13/F38</f>
        <v>0.21141649048625794</v>
      </c>
      <c r="P10" s="76">
        <f>G13/G38</f>
        <v>0.10516605166051661</v>
      </c>
      <c r="Q10" s="77">
        <f>O10-P10</f>
        <v>0.10625043882574133</v>
      </c>
    </row>
    <row r="11" spans="2:17" x14ac:dyDescent="0.3">
      <c r="B11" s="71" t="s">
        <v>78</v>
      </c>
      <c r="F11" s="64">
        <f>F9-F10</f>
        <v>286</v>
      </c>
      <c r="G11" s="68">
        <f>G9-G10</f>
        <v>239</v>
      </c>
      <c r="I11" s="19" t="s">
        <v>99</v>
      </c>
      <c r="J11" s="8"/>
      <c r="K11" s="8"/>
      <c r="L11" s="8"/>
      <c r="M11" s="8"/>
      <c r="N11" s="8"/>
      <c r="O11" s="78">
        <f>F13*(1-$C$16)/F38</f>
        <v>0.10570824524312897</v>
      </c>
      <c r="P11" s="78">
        <f>G13*(1-$C$16)/G38</f>
        <v>5.2583025830258305E-2</v>
      </c>
      <c r="Q11" s="79">
        <f>O11-P11</f>
        <v>5.3125219412870663E-2</v>
      </c>
    </row>
    <row r="12" spans="2:17" x14ac:dyDescent="0.3">
      <c r="B12" s="24" t="s">
        <v>74</v>
      </c>
      <c r="F12">
        <v>186</v>
      </c>
      <c r="G12" s="27">
        <v>182</v>
      </c>
    </row>
    <row r="13" spans="2:17" x14ac:dyDescent="0.3">
      <c r="B13" s="71" t="s">
        <v>11</v>
      </c>
      <c r="F13" s="64">
        <f>F11-F12</f>
        <v>100</v>
      </c>
      <c r="G13" s="68">
        <f>G11-G12</f>
        <v>57</v>
      </c>
      <c r="I13" s="94" t="s">
        <v>101</v>
      </c>
      <c r="J13" s="91"/>
      <c r="K13" s="91"/>
      <c r="L13" s="91"/>
      <c r="M13" s="91"/>
      <c r="N13" s="92" t="s">
        <v>106</v>
      </c>
      <c r="O13" s="92" t="s">
        <v>70</v>
      </c>
      <c r="P13" s="92" t="s">
        <v>71</v>
      </c>
      <c r="Q13" s="93" t="s">
        <v>108</v>
      </c>
    </row>
    <row r="14" spans="2:17" x14ac:dyDescent="0.3">
      <c r="B14" s="24" t="s">
        <v>75</v>
      </c>
      <c r="F14">
        <v>6</v>
      </c>
      <c r="G14" s="27">
        <v>8</v>
      </c>
      <c r="I14" s="13" t="s">
        <v>102</v>
      </c>
      <c r="N14" t="s">
        <v>107</v>
      </c>
      <c r="O14" s="80">
        <f>(F27/F9)*365</f>
        <v>45.625</v>
      </c>
      <c r="P14" s="80">
        <f>(G27/G9)*365</f>
        <v>58.048192771084338</v>
      </c>
      <c r="Q14" s="81">
        <f>O14-P14</f>
        <v>-12.423192771084338</v>
      </c>
    </row>
    <row r="15" spans="2:17" x14ac:dyDescent="0.3">
      <c r="B15" s="71" t="s">
        <v>34</v>
      </c>
      <c r="F15" s="64">
        <f>F13-F14</f>
        <v>94</v>
      </c>
      <c r="G15" s="68">
        <f>G13-G14</f>
        <v>49</v>
      </c>
      <c r="I15" s="13" t="s">
        <v>103</v>
      </c>
      <c r="N15" t="s">
        <v>107</v>
      </c>
      <c r="O15" s="80">
        <f>(F40/F10)*365</f>
        <v>87.62635379061372</v>
      </c>
      <c r="P15" s="80">
        <f>(G40/G10)*365</f>
        <v>75.346869712351946</v>
      </c>
      <c r="Q15" s="81">
        <f t="shared" ref="Q15:Q17" si="0">O15-P15</f>
        <v>12.279484078261774</v>
      </c>
    </row>
    <row r="16" spans="2:17" x14ac:dyDescent="0.3">
      <c r="B16" s="24" t="s">
        <v>76</v>
      </c>
      <c r="C16">
        <v>0.5</v>
      </c>
      <c r="F16">
        <f>F15*50%</f>
        <v>47</v>
      </c>
      <c r="G16" s="27">
        <f>G15*50%</f>
        <v>24.5</v>
      </c>
      <c r="I16" s="13" t="s">
        <v>104</v>
      </c>
      <c r="N16" t="s">
        <v>107</v>
      </c>
      <c r="O16" s="80">
        <f>(F26/F10)*365</f>
        <v>156.14620938628158</v>
      </c>
      <c r="P16" s="80">
        <f>(G26/G10)*365</f>
        <v>163.66328257191199</v>
      </c>
      <c r="Q16" s="81">
        <f t="shared" si="0"/>
        <v>-7.5170731856304087</v>
      </c>
    </row>
    <row r="17" spans="2:17" ht="15" thickBot="1" x14ac:dyDescent="0.35">
      <c r="B17" s="72" t="s">
        <v>79</v>
      </c>
      <c r="C17" s="36"/>
      <c r="D17" s="36"/>
      <c r="E17" s="36"/>
      <c r="F17" s="69">
        <f>F15-F16</f>
        <v>47</v>
      </c>
      <c r="G17" s="70">
        <f>G15-G16</f>
        <v>24.5</v>
      </c>
      <c r="I17" s="19" t="s">
        <v>105</v>
      </c>
      <c r="J17" s="8"/>
      <c r="K17" s="8"/>
      <c r="L17" s="8"/>
      <c r="M17" s="8"/>
      <c r="N17" s="8" t="s">
        <v>107</v>
      </c>
      <c r="O17" s="82">
        <f>O14+O16-O15</f>
        <v>114.14485559566786</v>
      </c>
      <c r="P17" s="82">
        <f>P14+P16-P15</f>
        <v>146.36460563064438</v>
      </c>
      <c r="Q17" s="83">
        <f t="shared" si="0"/>
        <v>-32.219750034976514</v>
      </c>
    </row>
    <row r="18" spans="2:17" s="123" customFormat="1" x14ac:dyDescent="0.3"/>
    <row r="19" spans="2:17" ht="15" thickBot="1" x14ac:dyDescent="0.35">
      <c r="B19" s="63" t="s">
        <v>77</v>
      </c>
      <c r="C19" s="63"/>
      <c r="D19" s="63"/>
      <c r="E19" s="63"/>
      <c r="F19" s="63"/>
      <c r="G19" s="63"/>
      <c r="H19" s="63"/>
      <c r="I19" s="94" t="s">
        <v>109</v>
      </c>
      <c r="J19" s="91"/>
      <c r="K19" s="91"/>
      <c r="L19" s="91"/>
      <c r="M19" s="91"/>
      <c r="N19" s="92" t="s">
        <v>106</v>
      </c>
      <c r="O19" s="92" t="s">
        <v>70</v>
      </c>
      <c r="P19" s="92" t="s">
        <v>71</v>
      </c>
      <c r="Q19" s="93" t="s">
        <v>108</v>
      </c>
    </row>
    <row r="20" spans="2:17" x14ac:dyDescent="0.3">
      <c r="B20" s="121" t="s">
        <v>69</v>
      </c>
      <c r="C20" s="122"/>
      <c r="D20" s="122"/>
      <c r="E20" s="73"/>
      <c r="F20" s="66" t="s">
        <v>70</v>
      </c>
      <c r="G20" s="67" t="s">
        <v>71</v>
      </c>
      <c r="I20" s="13" t="s">
        <v>110</v>
      </c>
      <c r="O20" s="76">
        <f>F37/F35</f>
        <v>0.18546365914786966</v>
      </c>
      <c r="P20" s="76">
        <f>G37/G35</f>
        <v>0.20982142857142858</v>
      </c>
      <c r="Q20" s="77">
        <f>O20-P20</f>
        <v>-2.4357769423558912E-2</v>
      </c>
    </row>
    <row r="21" spans="2:17" x14ac:dyDescent="0.3">
      <c r="B21" s="71" t="s">
        <v>82</v>
      </c>
      <c r="G21" s="27"/>
      <c r="I21" s="125" t="s">
        <v>111</v>
      </c>
      <c r="J21" s="126"/>
      <c r="K21" s="8"/>
      <c r="L21" s="8"/>
      <c r="M21" s="8"/>
      <c r="N21" s="8" t="s">
        <v>112</v>
      </c>
      <c r="O21" s="82">
        <f>F13/F14</f>
        <v>16.666666666666668</v>
      </c>
      <c r="P21" s="82">
        <f>G13/G14</f>
        <v>7.125</v>
      </c>
      <c r="Q21" s="83">
        <f t="shared" ref="Q21:Q26" si="1">O21-P21</f>
        <v>9.5416666666666679</v>
      </c>
    </row>
    <row r="22" spans="2:17" x14ac:dyDescent="0.3">
      <c r="B22" s="24" t="s">
        <v>80</v>
      </c>
      <c r="F22">
        <v>36</v>
      </c>
      <c r="G22" s="27">
        <v>32</v>
      </c>
      <c r="Q22" s="75"/>
    </row>
    <row r="23" spans="2:17" x14ac:dyDescent="0.3">
      <c r="B23" s="24" t="s">
        <v>81</v>
      </c>
      <c r="F23">
        <v>176</v>
      </c>
      <c r="G23" s="27">
        <v>222</v>
      </c>
      <c r="I23" s="94" t="s">
        <v>113</v>
      </c>
      <c r="J23" s="91"/>
      <c r="K23" s="91"/>
      <c r="L23" s="91"/>
      <c r="M23" s="91"/>
      <c r="N23" s="92" t="s">
        <v>106</v>
      </c>
      <c r="O23" s="92" t="s">
        <v>70</v>
      </c>
      <c r="P23" s="92" t="s">
        <v>71</v>
      </c>
      <c r="Q23" s="93" t="s">
        <v>108</v>
      </c>
    </row>
    <row r="24" spans="2:17" x14ac:dyDescent="0.3">
      <c r="B24" s="24"/>
      <c r="F24" s="64">
        <f>SUM(F22:F23)</f>
        <v>212</v>
      </c>
      <c r="G24" s="68">
        <f>SUM(G22:G23)</f>
        <v>254</v>
      </c>
      <c r="I24" s="13" t="s">
        <v>114</v>
      </c>
      <c r="O24" s="56">
        <f>F43</f>
        <v>1.6</v>
      </c>
      <c r="P24" s="56">
        <f>G43</f>
        <v>0.8</v>
      </c>
      <c r="Q24" s="84">
        <f t="shared" si="1"/>
        <v>0.8</v>
      </c>
    </row>
    <row r="25" spans="2:17" x14ac:dyDescent="0.3">
      <c r="B25" s="71" t="s">
        <v>83</v>
      </c>
      <c r="G25" s="27"/>
      <c r="I25" s="13" t="s">
        <v>115</v>
      </c>
      <c r="O25" s="56">
        <f>O24/O26</f>
        <v>6.8085106382978733</v>
      </c>
      <c r="P25" s="56">
        <f>P24/P26</f>
        <v>6.5306122448979593</v>
      </c>
      <c r="Q25" s="85">
        <f t="shared" si="1"/>
        <v>0.27789839339991396</v>
      </c>
    </row>
    <row r="26" spans="2:17" x14ac:dyDescent="0.3">
      <c r="B26" s="24" t="s">
        <v>84</v>
      </c>
      <c r="F26">
        <v>237</v>
      </c>
      <c r="G26" s="27">
        <v>265</v>
      </c>
      <c r="I26" s="19" t="s">
        <v>116</v>
      </c>
      <c r="J26" s="8"/>
      <c r="K26" s="8"/>
      <c r="L26" s="8"/>
      <c r="M26" s="8"/>
      <c r="N26" s="8"/>
      <c r="O26" s="86">
        <f>(F17*1000000)/$L$29</f>
        <v>0.23499999999999999</v>
      </c>
      <c r="P26" s="86">
        <f>(G17*1000000)/$L$29</f>
        <v>0.1225</v>
      </c>
      <c r="Q26" s="87">
        <f t="shared" si="1"/>
        <v>0.11249999999999999</v>
      </c>
    </row>
    <row r="27" spans="2:17" x14ac:dyDescent="0.3">
      <c r="B27" s="24" t="s">
        <v>85</v>
      </c>
      <c r="F27">
        <v>105</v>
      </c>
      <c r="G27" s="27">
        <v>132</v>
      </c>
      <c r="Q27" s="75"/>
    </row>
    <row r="28" spans="2:17" x14ac:dyDescent="0.3">
      <c r="B28" s="24" t="s">
        <v>86</v>
      </c>
      <c r="F28">
        <v>52</v>
      </c>
      <c r="G28" s="27">
        <v>13</v>
      </c>
      <c r="Q28" s="75"/>
    </row>
    <row r="29" spans="2:17" x14ac:dyDescent="0.3">
      <c r="B29" s="24"/>
      <c r="F29" s="64">
        <f>SUM(F26:F28)</f>
        <v>394</v>
      </c>
      <c r="G29" s="68">
        <f>SUM(G26:G28)</f>
        <v>410</v>
      </c>
      <c r="I29" s="63" t="s">
        <v>117</v>
      </c>
      <c r="L29">
        <f>(F33*1000000)/D33</f>
        <v>200000000</v>
      </c>
      <c r="M29" t="s">
        <v>118</v>
      </c>
      <c r="Q29" s="75"/>
    </row>
    <row r="30" spans="2:17" x14ac:dyDescent="0.3">
      <c r="B30" s="71" t="s">
        <v>87</v>
      </c>
      <c r="F30" s="65">
        <f>F24+F29</f>
        <v>606</v>
      </c>
      <c r="G30" s="74">
        <f>G24+G29</f>
        <v>664</v>
      </c>
    </row>
    <row r="31" spans="2:17" x14ac:dyDescent="0.3">
      <c r="B31" s="24"/>
      <c r="G31" s="27"/>
    </row>
    <row r="32" spans="2:17" x14ac:dyDescent="0.3">
      <c r="B32" s="71" t="s">
        <v>88</v>
      </c>
      <c r="G32" s="27"/>
    </row>
    <row r="33" spans="2:7" x14ac:dyDescent="0.3">
      <c r="B33" s="24" t="s">
        <v>89</v>
      </c>
      <c r="D33">
        <v>0.5</v>
      </c>
      <c r="F33">
        <v>100</v>
      </c>
      <c r="G33" s="27">
        <v>100</v>
      </c>
    </row>
    <row r="34" spans="2:7" x14ac:dyDescent="0.3">
      <c r="B34" s="24" t="s">
        <v>90</v>
      </c>
      <c r="F34">
        <v>299</v>
      </c>
      <c r="G34" s="27">
        <v>348</v>
      </c>
    </row>
    <row r="35" spans="2:7" x14ac:dyDescent="0.3">
      <c r="B35" s="24"/>
      <c r="F35" s="64">
        <f>SUM(F33:F34)</f>
        <v>399</v>
      </c>
      <c r="G35" s="68">
        <f>SUM(G33:G34)</f>
        <v>448</v>
      </c>
    </row>
    <row r="36" spans="2:7" x14ac:dyDescent="0.3">
      <c r="B36" s="71" t="s">
        <v>91</v>
      </c>
      <c r="G36" s="27"/>
    </row>
    <row r="37" spans="2:7" x14ac:dyDescent="0.3">
      <c r="B37" s="24" t="s">
        <v>92</v>
      </c>
      <c r="F37">
        <v>74</v>
      </c>
      <c r="G37" s="27">
        <v>94</v>
      </c>
    </row>
    <row r="38" spans="2:7" x14ac:dyDescent="0.3">
      <c r="B38" s="24"/>
      <c r="F38" s="64">
        <f>F35+F37</f>
        <v>473</v>
      </c>
      <c r="G38" s="68">
        <f>G35+G37</f>
        <v>542</v>
      </c>
    </row>
    <row r="39" spans="2:7" x14ac:dyDescent="0.3">
      <c r="B39" s="71" t="s">
        <v>93</v>
      </c>
      <c r="G39" s="27"/>
    </row>
    <row r="40" spans="2:7" x14ac:dyDescent="0.3">
      <c r="B40" s="24" t="s">
        <v>94</v>
      </c>
      <c r="F40">
        <v>133</v>
      </c>
      <c r="G40" s="27">
        <v>122</v>
      </c>
    </row>
    <row r="41" spans="2:7" ht="15" thickBot="1" x14ac:dyDescent="0.35">
      <c r="B41" s="72" t="s">
        <v>95</v>
      </c>
      <c r="C41" s="36"/>
      <c r="D41" s="36"/>
      <c r="E41" s="36"/>
      <c r="F41" s="69">
        <f>F38+F40</f>
        <v>606</v>
      </c>
      <c r="G41" s="70">
        <f>G38+G40</f>
        <v>664</v>
      </c>
    </row>
    <row r="43" spans="2:7" x14ac:dyDescent="0.3">
      <c r="B43" s="63" t="s">
        <v>114</v>
      </c>
      <c r="F43" s="56">
        <v>1.6</v>
      </c>
      <c r="G43" s="56">
        <v>0.8</v>
      </c>
    </row>
    <row r="45" spans="2:7" x14ac:dyDescent="0.3">
      <c r="B45" s="124" t="s">
        <v>96</v>
      </c>
      <c r="C45" s="124"/>
      <c r="D45" s="124"/>
      <c r="E45" s="124"/>
      <c r="F45" s="124"/>
      <c r="G45" s="124"/>
    </row>
    <row r="46" spans="2:7" x14ac:dyDescent="0.3">
      <c r="B46" s="124"/>
      <c r="C46" s="124"/>
      <c r="D46" s="124"/>
      <c r="E46" s="124"/>
      <c r="F46" s="124"/>
      <c r="G46" s="124"/>
    </row>
    <row r="47" spans="2:7" x14ac:dyDescent="0.3">
      <c r="B47" s="124"/>
      <c r="C47" s="124"/>
      <c r="D47" s="124"/>
      <c r="E47" s="124"/>
      <c r="F47" s="124"/>
      <c r="G47" s="124"/>
    </row>
  </sheetData>
  <mergeCells count="8">
    <mergeCell ref="B45:G47"/>
    <mergeCell ref="I21:J21"/>
    <mergeCell ref="B8:D8"/>
    <mergeCell ref="B2:H5"/>
    <mergeCell ref="I7:L7"/>
    <mergeCell ref="I9:J9"/>
    <mergeCell ref="B20:D20"/>
    <mergeCell ref="A18:XFD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D9EC-5332-4BD6-A57D-C997D0AD6483}">
  <dimension ref="B7:J38"/>
  <sheetViews>
    <sheetView topLeftCell="A9" zoomScale="137" workbookViewId="0">
      <selection activeCell="H32" sqref="H32"/>
    </sheetView>
  </sheetViews>
  <sheetFormatPr defaultRowHeight="14.4" x14ac:dyDescent="0.3"/>
  <cols>
    <col min="1" max="1" width="3.109375" customWidth="1"/>
    <col min="2" max="2" width="39.6640625" bestFit="1" customWidth="1"/>
    <col min="5" max="5" width="12.109375" bestFit="1" customWidth="1"/>
    <col min="7" max="7" width="26.33203125" customWidth="1"/>
  </cols>
  <sheetData>
    <row r="7" spans="2:10" ht="21" x14ac:dyDescent="0.4">
      <c r="B7" s="88" t="s">
        <v>119</v>
      </c>
    </row>
    <row r="9" spans="2:10" x14ac:dyDescent="0.3">
      <c r="B9" s="105" t="s">
        <v>120</v>
      </c>
      <c r="C9" s="105"/>
      <c r="D9" s="105"/>
      <c r="E9" s="105"/>
      <c r="F9" s="105"/>
      <c r="G9" s="105"/>
      <c r="H9" s="105"/>
      <c r="I9" s="105"/>
      <c r="J9" s="105"/>
    </row>
    <row r="10" spans="2:10" x14ac:dyDescent="0.3">
      <c r="B10" s="105"/>
      <c r="C10" s="105"/>
      <c r="D10" s="105"/>
      <c r="E10" s="105"/>
      <c r="F10" s="105"/>
      <c r="G10" s="105"/>
      <c r="H10" s="105"/>
      <c r="I10" s="105"/>
      <c r="J10" s="105"/>
    </row>
    <row r="11" spans="2:10" ht="15" thickBot="1" x14ac:dyDescent="0.35"/>
    <row r="12" spans="2:10" x14ac:dyDescent="0.3">
      <c r="B12" s="102" t="s">
        <v>69</v>
      </c>
      <c r="C12" s="103"/>
      <c r="D12" s="103" t="s">
        <v>121</v>
      </c>
      <c r="E12" s="104" t="s">
        <v>138</v>
      </c>
      <c r="G12" s="63" t="s">
        <v>139</v>
      </c>
    </row>
    <row r="13" spans="2:10" x14ac:dyDescent="0.3">
      <c r="B13" s="71" t="s">
        <v>125</v>
      </c>
      <c r="E13" s="27"/>
    </row>
    <row r="14" spans="2:10" x14ac:dyDescent="0.3">
      <c r="B14" s="24" t="s">
        <v>122</v>
      </c>
      <c r="D14" s="89">
        <v>193246</v>
      </c>
      <c r="E14" s="96">
        <f>80000+80000</f>
        <v>160000</v>
      </c>
      <c r="G14" s="63" t="s">
        <v>140</v>
      </c>
      <c r="H14" s="89">
        <f>E22</f>
        <v>363622.8</v>
      </c>
    </row>
    <row r="15" spans="2:10" x14ac:dyDescent="0.3">
      <c r="B15" s="24" t="s">
        <v>123</v>
      </c>
      <c r="D15" s="89">
        <v>60754</v>
      </c>
      <c r="E15" s="27">
        <v>30000</v>
      </c>
      <c r="G15" s="63" t="s">
        <v>143</v>
      </c>
    </row>
    <row r="16" spans="2:10" x14ac:dyDescent="0.3">
      <c r="B16" s="24" t="s">
        <v>124</v>
      </c>
      <c r="D16" s="89">
        <v>27000</v>
      </c>
      <c r="E16" s="96">
        <v>60000</v>
      </c>
      <c r="G16" t="s">
        <v>141</v>
      </c>
      <c r="H16" s="89">
        <f>-D31</f>
        <v>-80000</v>
      </c>
    </row>
    <row r="17" spans="2:8" x14ac:dyDescent="0.3">
      <c r="B17" s="24"/>
      <c r="D17" s="90">
        <f>SUM(D14:D16)</f>
        <v>281000</v>
      </c>
      <c r="E17" s="97">
        <f>SUM(E14:E16)</f>
        <v>250000</v>
      </c>
      <c r="H17" s="90">
        <f>SUM(H14:H16)</f>
        <v>283622.8</v>
      </c>
    </row>
    <row r="18" spans="2:8" x14ac:dyDescent="0.3">
      <c r="B18" s="71" t="s">
        <v>126</v>
      </c>
      <c r="E18" s="27"/>
    </row>
    <row r="19" spans="2:8" x14ac:dyDescent="0.3">
      <c r="B19" s="24" t="s">
        <v>84</v>
      </c>
      <c r="D19" s="89">
        <v>120247</v>
      </c>
      <c r="E19" s="27">
        <v>50000</v>
      </c>
    </row>
    <row r="20" spans="2:8" x14ac:dyDescent="0.3">
      <c r="B20" s="24" t="s">
        <v>127</v>
      </c>
      <c r="D20" s="89">
        <v>70692</v>
      </c>
      <c r="E20" s="98">
        <f>D20*90%</f>
        <v>63622.8</v>
      </c>
      <c r="G20" s="63" t="s">
        <v>142</v>
      </c>
    </row>
    <row r="21" spans="2:8" x14ac:dyDescent="0.3">
      <c r="B21" s="24"/>
      <c r="D21" s="90">
        <f>SUM(D19:D20)</f>
        <v>190939</v>
      </c>
      <c r="E21" s="97">
        <f>SUM(E19:E20)</f>
        <v>113622.8</v>
      </c>
      <c r="G21" t="s">
        <v>135</v>
      </c>
      <c r="H21" s="89">
        <f>D34</f>
        <v>112247</v>
      </c>
    </row>
    <row r="22" spans="2:8" x14ac:dyDescent="0.3">
      <c r="B22" s="24" t="s">
        <v>87</v>
      </c>
      <c r="D22" s="95">
        <f>D17+D21</f>
        <v>471939</v>
      </c>
      <c r="E22" s="99">
        <f>E17+E21</f>
        <v>363622.8</v>
      </c>
      <c r="G22" t="s">
        <v>136</v>
      </c>
      <c r="H22" s="89">
        <f t="shared" ref="H22:H23" si="0">D35</f>
        <v>12800</v>
      </c>
    </row>
    <row r="23" spans="2:8" x14ac:dyDescent="0.3">
      <c r="B23" s="24"/>
      <c r="E23" s="27"/>
      <c r="G23" t="s">
        <v>137</v>
      </c>
      <c r="H23" s="89">
        <f t="shared" si="0"/>
        <v>36713</v>
      </c>
    </row>
    <row r="24" spans="2:8" x14ac:dyDescent="0.3">
      <c r="B24" s="71" t="s">
        <v>128</v>
      </c>
      <c r="E24" s="27"/>
      <c r="G24" s="63" t="s">
        <v>144</v>
      </c>
      <c r="H24" s="95">
        <f>H17-SUM(H21:H23)</f>
        <v>121862.79999999999</v>
      </c>
    </row>
    <row r="25" spans="2:8" x14ac:dyDescent="0.3">
      <c r="B25" s="24" t="s">
        <v>129</v>
      </c>
      <c r="D25" s="89">
        <v>200000</v>
      </c>
      <c r="E25" s="27"/>
    </row>
    <row r="26" spans="2:8" x14ac:dyDescent="0.3">
      <c r="B26" s="24" t="s">
        <v>130</v>
      </c>
      <c r="D26" s="89">
        <v>70000</v>
      </c>
      <c r="E26" s="27"/>
    </row>
    <row r="27" spans="2:8" x14ac:dyDescent="0.3">
      <c r="B27" s="24" t="s">
        <v>131</v>
      </c>
      <c r="D27" s="89">
        <v>-39821</v>
      </c>
      <c r="E27" s="27"/>
    </row>
    <row r="28" spans="2:8" x14ac:dyDescent="0.3">
      <c r="B28" s="24"/>
      <c r="D28" s="90">
        <f>SUM(D25:D27)</f>
        <v>230179</v>
      </c>
      <c r="E28" s="27"/>
    </row>
    <row r="29" spans="2:8" x14ac:dyDescent="0.3">
      <c r="B29" s="24"/>
      <c r="E29" s="27"/>
    </row>
    <row r="30" spans="2:8" x14ac:dyDescent="0.3">
      <c r="B30" s="71" t="s">
        <v>132</v>
      </c>
      <c r="E30" s="27"/>
    </row>
    <row r="31" spans="2:8" x14ac:dyDescent="0.3">
      <c r="B31" s="24" t="s">
        <v>133</v>
      </c>
      <c r="D31" s="89">
        <v>80000</v>
      </c>
      <c r="E31" s="27"/>
    </row>
    <row r="32" spans="2:8" x14ac:dyDescent="0.3">
      <c r="B32" s="24"/>
      <c r="E32" s="27"/>
    </row>
    <row r="33" spans="2:5" x14ac:dyDescent="0.3">
      <c r="B33" s="71" t="s">
        <v>134</v>
      </c>
      <c r="E33" s="27"/>
    </row>
    <row r="34" spans="2:5" x14ac:dyDescent="0.3">
      <c r="B34" s="24" t="s">
        <v>135</v>
      </c>
      <c r="D34" s="89">
        <v>112247</v>
      </c>
      <c r="E34" s="27"/>
    </row>
    <row r="35" spans="2:5" x14ac:dyDescent="0.3">
      <c r="B35" s="24" t="s">
        <v>136</v>
      </c>
      <c r="D35" s="89">
        <v>12800</v>
      </c>
      <c r="E35" s="27"/>
    </row>
    <row r="36" spans="2:5" x14ac:dyDescent="0.3">
      <c r="B36" s="24" t="s">
        <v>137</v>
      </c>
      <c r="D36" s="89">
        <v>36713</v>
      </c>
      <c r="E36" s="27"/>
    </row>
    <row r="37" spans="2:5" x14ac:dyDescent="0.3">
      <c r="B37" s="24"/>
      <c r="D37" s="90">
        <f>SUM(D34:D36)</f>
        <v>161760</v>
      </c>
      <c r="E37" s="27"/>
    </row>
    <row r="38" spans="2:5" ht="15" thickBot="1" x14ac:dyDescent="0.35">
      <c r="B38" s="72" t="s">
        <v>95</v>
      </c>
      <c r="C38" s="36"/>
      <c r="D38" s="100">
        <f>D28+D31+D37</f>
        <v>471939</v>
      </c>
      <c r="E38" s="101"/>
    </row>
  </sheetData>
  <mergeCells count="1">
    <mergeCell ref="B9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Chp 13 TYU 1</vt:lpstr>
      <vt:lpstr>Answer 1</vt:lpstr>
      <vt:lpstr>TYU 2</vt:lpstr>
      <vt:lpstr>Answer 2</vt:lpstr>
      <vt:lpstr>TYU 3</vt:lpstr>
      <vt:lpstr>Answer 3</vt:lpstr>
      <vt:lpstr>Chp 14 TYU 1</vt:lpstr>
      <vt:lpstr>Chp 14 TYU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Anjani Kumar Mishra</dc:creator>
  <cp:lastModifiedBy>Anjani Kumar Mishra</cp:lastModifiedBy>
  <dcterms:created xsi:type="dcterms:W3CDTF">2026-04-27T08:13:41Z</dcterms:created>
  <dcterms:modified xsi:type="dcterms:W3CDTF">2026-04-30T03:36:39Z</dcterms:modified>
</cp:coreProperties>
</file>